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pivotTable+xml" PartName="/xl/pivotTables/pivotTable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ipments" sheetId="1" r:id="rId4"/>
    <sheet state="visible" name="Destinations" sheetId="2" r:id="rId5"/>
    <sheet state="visible" name="Notes" sheetId="3" r:id="rId6"/>
  </sheets>
  <definedNames/>
  <calcPr/>
  <pivotCaches>
    <pivotCache cacheId="0" r:id="rId7"/>
  </pivotCaches>
</workbook>
</file>

<file path=xl/sharedStrings.xml><?xml version="1.0" encoding="utf-8"?>
<sst xmlns="http://schemas.openxmlformats.org/spreadsheetml/2006/main" count="38" uniqueCount="24">
  <si>
    <t xml:space="preserve"> </t>
  </si>
  <si>
    <t>World Bank region</t>
  </si>
  <si>
    <t>Metric tons</t>
  </si>
  <si>
    <t>per cent of total</t>
  </si>
  <si>
    <t>East Asia &amp; Pacific</t>
  </si>
  <si>
    <t>Europe &amp; Central Asia</t>
  </si>
  <si>
    <t>Middle East &amp; North Africa</t>
  </si>
  <si>
    <t>South Asia</t>
  </si>
  <si>
    <t>Sub-Saharan Africa</t>
  </si>
  <si>
    <t>Grand Total</t>
  </si>
  <si>
    <t>Income group</t>
  </si>
  <si>
    <t>high-income</t>
  </si>
  <si>
    <t>upper-middle-income</t>
  </si>
  <si>
    <t>lower-middle income</t>
  </si>
  <si>
    <t>low-income</t>
  </si>
  <si>
    <t>Development category</t>
  </si>
  <si>
    <t>developed</t>
  </si>
  <si>
    <t>developing</t>
  </si>
  <si>
    <t>Rows marked "Outbound +" are additional shipments on the same voyage - eg two commodities going to the same destination, or the same commodity to two destinations</t>
  </si>
  <si>
    <t>Vessels marked as "Stranded" were already in one of the three participating Ukrainian ports before the Initiative started. Therefore, there is no inbound voyage to Ukraine for those vessels.</t>
  </si>
  <si>
    <t>Questions? email: admin@jcc-secretariat.org and media@jcc-secretariat.org</t>
  </si>
  <si>
    <t>Destinations indicated are based on information received at the JCC and may change based on commercial activity.</t>
  </si>
  <si>
    <t>Cargo may be processed and re-exported from the primary destination.</t>
  </si>
  <si>
    <t>Graphics and tables may show slight data discrepancies due to different timing of updates. Please refer to the spreadsheets for the latest information.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</si>
</sst>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&quot;-&quot;mmm&quot;-&quot;yyyy"/>
  </numFmts>
  <fonts count="7">
    <font>
      <sz val="10.0"/>
      <color rgb="FF000000"/>
      <name val="Arial"/>
      <scheme val="minor"/>
    </font>
    <font>
      <b/>
      <sz val="10.0"/>
      <color rgb="FF000000"/>
      <name val="Arial"/>
    </font>
    <font>
      <b/>
      <color theme="1"/>
      <name val="Arial"/>
      <scheme val="minor"/>
    </font>
    <font>
      <color theme="1"/>
      <name val="Arial"/>
      <scheme val="minor"/>
    </font>
    <font>
      <sz val="10.0"/>
      <color rgb="FF000000"/>
      <name val="Roboto"/>
    </font>
    <font>
      <color theme="1"/>
      <name val="Roboto"/>
    </font>
    <font>
      <sz val="10.0"/>
      <color rgb="FF252423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0" fontId="2" numFmtId="0" xfId="0" applyFont="1"/>
    <xf borderId="0" fillId="0" fontId="2" numFmtId="0" xfId="0" applyFont="1"/>
    <xf borderId="0" fillId="0" fontId="2" numFmtId="0" xfId="0" applyAlignment="1" applyFont="1">
      <alignment readingOrder="0"/>
    </xf>
    <xf borderId="0" fillId="0" fontId="3" numFmtId="0" xfId="0" applyFont="1"/>
    <xf borderId="0" fillId="0" fontId="3" numFmtId="3" xfId="0" applyFont="1" applyNumberFormat="1"/>
    <xf borderId="0" fillId="0" fontId="3" numFmtId="164" xfId="0" applyFont="1" applyNumberFormat="1"/>
    <xf borderId="0" fillId="0" fontId="3" numFmtId="0" xfId="0" applyFont="1"/>
    <xf borderId="0" fillId="0" fontId="3" numFmtId="10" xfId="0" applyFont="1" applyNumberFormat="1"/>
    <xf borderId="0" fillId="0" fontId="4" numFmtId="0" xfId="0" applyAlignment="1" applyFont="1">
      <alignment readingOrder="0"/>
    </xf>
    <xf borderId="0" fillId="0" fontId="4" numFmtId="0" xfId="0" applyFont="1"/>
    <xf borderId="0" fillId="0" fontId="5" numFmtId="0" xfId="0" applyAlignment="1" applyFont="1">
      <alignment readingOrder="0" shrinkToFit="0" vertical="bottom" wrapText="0"/>
    </xf>
    <xf borderId="0" fillId="2" fontId="4" numFmtId="0" xfId="0" applyAlignment="1" applyFont="1">
      <alignment readingOrder="0"/>
    </xf>
    <xf borderId="0" fillId="2" fontId="4" numFmtId="0" xfId="0" applyFont="1"/>
    <xf borderId="0" fillId="2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Z1541" sheet="Shipments"/>
  </cacheSource>
  <cacheFields>
    <cacheField name="Status" numFmtId="0">
      <sharedItems containsBlank="1">
        <s v="Outbound"/>
        <s v="Outbound +"/>
        <m/>
      </sharedItems>
    </cacheField>
    <cacheField name="#" numFmtId="0">
      <sharedItems containsString="0" containsBlank="1" containsNumber="1" containsInteger="1">
        <n v="1004.0"/>
        <n v="1003.0"/>
        <n v="1002.0"/>
        <n v="1001.0"/>
        <n v="1000.0"/>
        <n v="999.0"/>
        <n v="998.0"/>
        <n v="997.0"/>
        <n v="996.0"/>
        <n v="995.0"/>
        <n v="994.0"/>
        <n v="993.0"/>
        <n v="992.0"/>
        <n v="991.0"/>
        <n v="990.0"/>
        <n v="989.0"/>
        <n v="988.0"/>
        <n v="987.0"/>
        <n v="986.0"/>
        <n v="985.0"/>
        <n v="984.0"/>
        <n v="983.0"/>
        <n v="982.0"/>
        <n v="981.0"/>
        <n v="980.0"/>
        <n v="979.0"/>
        <n v="978.0"/>
        <n v="977.0"/>
        <n v="976.0"/>
        <n v="975.0"/>
        <n v="974.0"/>
        <n v="973.0"/>
        <n v="972.0"/>
        <n v="971.0"/>
        <n v="970.0"/>
        <n v="969.0"/>
        <n v="968.0"/>
        <n v="967.0"/>
        <n v="966.0"/>
        <n v="965.0"/>
        <n v="964.0"/>
        <n v="963.0"/>
        <n v="962.0"/>
        <n v="961.0"/>
        <n v="960.0"/>
        <n v="959.0"/>
        <n v="958.0"/>
        <n v="957.0"/>
        <n v="956.0"/>
        <n v="955.0"/>
        <n v="954.0"/>
        <n v="953.0"/>
        <n v="952.0"/>
        <n v="951.0"/>
        <n v="950.0"/>
        <n v="949.0"/>
        <n v="948.0"/>
        <n v="947.0"/>
        <n v="946.0"/>
        <n v="945.0"/>
        <n v="944.0"/>
        <n v="943.0"/>
        <n v="942.0"/>
        <n v="941.0"/>
        <n v="940.0"/>
        <n v="939.0"/>
        <n v="938.0"/>
        <n v="937.0"/>
        <n v="936.0"/>
        <n v="935.0"/>
        <n v="934.0"/>
        <n v="933.0"/>
        <n v="932.0"/>
        <n v="931.0"/>
        <n v="930.0"/>
        <n v="929.0"/>
        <n v="928.0"/>
        <n v="927.0"/>
        <n v="926.0"/>
        <n v="925.0"/>
        <n v="924.0"/>
        <n v="923.0"/>
        <n v="922.0"/>
        <n v="921.0"/>
        <n v="920.0"/>
        <n v="919.0"/>
        <n v="918.0"/>
        <n v="917.0"/>
        <n v="916.0"/>
        <n v="915.0"/>
        <n v="914.0"/>
        <n v="913.0"/>
        <n v="912.0"/>
        <n v="911.0"/>
        <n v="910.0"/>
        <n v="909.0"/>
        <n v="908.0"/>
        <n v="907.0"/>
        <n v="906.0"/>
        <n v="905.0"/>
        <n v="904.0"/>
        <n v="903.0"/>
        <n v="902.0"/>
        <n v="901.0"/>
        <n v="900.0"/>
        <n v="899.0"/>
        <n v="898.0"/>
        <n v="897.0"/>
        <n v="896.0"/>
        <n v="895.0"/>
        <n v="894.0"/>
        <n v="893.0"/>
        <n v="892.0"/>
        <n v="891.0"/>
        <n v="890.0"/>
        <n v="889.0"/>
        <n v="888.0"/>
        <n v="887.0"/>
        <n v="886.0"/>
        <n v="885.0"/>
        <n v="884.0"/>
        <n v="883.0"/>
        <n v="882.0"/>
        <n v="881.0"/>
        <n v="880.0"/>
        <n v="879.0"/>
        <n v="878.0"/>
        <n v="877.0"/>
        <n v="876.0"/>
        <n v="875.0"/>
        <n v="874.0"/>
        <n v="873.0"/>
        <n v="872.0"/>
        <n v="871.0"/>
        <n v="870.0"/>
        <n v="869.0"/>
        <n v="868.0"/>
        <n v="867.0"/>
        <n v="866.0"/>
        <n v="865.0"/>
        <n v="864.0"/>
        <n v="863.0"/>
        <n v="862.0"/>
        <n v="861.0"/>
        <n v="860.0"/>
        <n v="859.0"/>
        <n v="858.0"/>
        <n v="857.0"/>
        <n v="856.0"/>
        <n v="855.0"/>
        <n v="854.0"/>
        <n v="853.0"/>
        <n v="852.0"/>
        <n v="851.0"/>
        <n v="850.0"/>
        <n v="849.0"/>
        <n v="848.0"/>
        <n v="847.0"/>
        <n v="846.0"/>
        <n v="845.0"/>
        <n v="844.0"/>
        <n v="843.0"/>
        <n v="842.0"/>
        <n v="841.0"/>
        <n v="840.0"/>
        <n v="839.0"/>
        <n v="838.0"/>
        <n v="837.0"/>
        <n v="836.0"/>
        <n v="835.0"/>
        <n v="834.0"/>
        <n v="833.0"/>
        <n v="832.0"/>
        <n v="831.0"/>
        <n v="830.0"/>
        <n v="829.0"/>
        <n v="828.0"/>
        <n v="827.0"/>
        <n v="826.0"/>
        <n v="825.0"/>
        <n v="824.0"/>
        <n v="823.0"/>
        <n v="822.0"/>
        <n v="821.0"/>
        <n v="820.0"/>
        <n v="819.0"/>
        <n v="818.0"/>
        <n v="817.0"/>
        <n v="816.0"/>
        <n v="815.0"/>
        <n v="814.0"/>
        <n v="813.0"/>
        <n v="812.0"/>
        <n v="811.0"/>
        <n v="810.0"/>
        <n v="809.0"/>
        <n v="808.0"/>
        <n v="807.0"/>
        <n v="806.0"/>
        <n v="805.0"/>
        <n v="804.0"/>
        <n v="803.0"/>
        <n v="802.0"/>
        <n v="801.0"/>
        <n v="800.0"/>
        <n v="799.0"/>
        <n v="798.0"/>
        <n v="797.0"/>
        <n v="796.0"/>
        <n v="795.0"/>
        <n v="794.0"/>
        <n v="793.0"/>
        <n v="792.0"/>
        <n v="791.0"/>
        <n v="790.0"/>
        <n v="789.0"/>
        <n v="788.0"/>
        <n v="787.0"/>
        <n v="786.0"/>
        <n v="785.0"/>
        <n v="784.0"/>
        <n v="783.0"/>
        <n v="782.0"/>
        <n v="781.0"/>
        <n v="780.0"/>
        <n v="779.0"/>
        <n v="778.0"/>
        <n v="777.0"/>
        <n v="776.0"/>
        <n v="775.0"/>
        <n v="774.0"/>
        <n v="773.0"/>
        <n v="772.0"/>
        <n v="771.0"/>
        <n v="770.0"/>
        <n v="769.0"/>
        <n v="768.0"/>
        <n v="767.0"/>
        <n v="766.0"/>
        <n v="765.0"/>
        <n v="764.0"/>
        <n v="763.0"/>
        <n v="762.0"/>
        <n v="761.0"/>
        <n v="760.0"/>
        <n v="759.0"/>
        <n v="758.0"/>
        <n v="757.0"/>
        <n v="756.0"/>
        <n v="755.0"/>
        <n v="754.0"/>
        <n v="753.0"/>
        <n v="752.0"/>
        <n v="751.0"/>
        <n v="750.0"/>
        <n v="749.0"/>
        <n v="748.0"/>
        <n v="747.0"/>
        <n v="746.0"/>
        <n v="745.0"/>
        <n v="744.0"/>
        <n v="743.0"/>
        <n v="742.0"/>
        <n v="741.0"/>
        <n v="740.0"/>
        <n v="739.0"/>
        <n v="738.0"/>
        <n v="737.0"/>
        <n v="736.0"/>
        <n v="735.0"/>
        <n v="734.0"/>
        <n v="733.0"/>
        <n v="732.0"/>
        <n v="731.0"/>
        <n v="730.0"/>
        <n v="729.0"/>
        <n v="728.0"/>
        <n v="727.0"/>
        <n v="726.0"/>
        <n v="725.0"/>
        <n v="724.0"/>
        <n v="723.0"/>
        <n v="722.0"/>
        <n v="721.0"/>
        <n v="720.0"/>
        <n v="719.0"/>
        <n v="718.0"/>
        <n v="717.0"/>
        <n v="716.0"/>
        <n v="715.0"/>
        <n v="714.0"/>
        <n v="713.0"/>
        <n v="712.0"/>
        <n v="711.0"/>
        <n v="710.0"/>
        <n v="709.0"/>
        <n v="708.0"/>
        <n v="707.0"/>
        <n v="706.0"/>
        <n v="705.0"/>
        <n v="704.0"/>
        <n v="703.0"/>
        <n v="702.0"/>
        <n v="701.0"/>
        <n v="700.0"/>
        <n v="699.0"/>
        <n v="698.0"/>
        <n v="697.0"/>
        <n v="696.0"/>
        <n v="695.0"/>
        <n v="694.0"/>
        <n v="693.0"/>
        <n v="692.0"/>
        <n v="691.0"/>
        <n v="690.0"/>
        <n v="689.0"/>
        <n v="688.0"/>
        <n v="687.0"/>
        <n v="686.0"/>
        <n v="685.0"/>
        <n v="684.0"/>
        <n v="683.0"/>
        <n v="682.0"/>
        <n v="681.0"/>
        <n v="680.0"/>
        <n v="679.0"/>
        <n v="678.0"/>
        <n v="677.0"/>
        <n v="676.0"/>
        <n v="675.0"/>
        <n v="674.0"/>
        <n v="673.0"/>
        <n v="672.0"/>
        <n v="671.0"/>
        <n v="670.0"/>
        <n v="669.0"/>
        <n v="668.0"/>
        <n v="667.0"/>
        <n v="666.0"/>
        <n v="665.0"/>
        <n v="664.0"/>
        <n v="663.0"/>
        <n v="662.0"/>
        <n v="661.0"/>
        <n v="660.0"/>
        <n v="659.0"/>
        <n v="658.0"/>
        <n v="657.0"/>
        <n v="656.0"/>
        <n v="655.0"/>
        <n v="654.0"/>
        <n v="653.0"/>
        <n v="652.0"/>
        <n v="651.0"/>
        <n v="650.0"/>
        <n v="649.0"/>
        <n v="648.0"/>
        <n v="647.0"/>
        <n v="646.0"/>
        <n v="645.0"/>
        <n v="644.0"/>
        <n v="643.0"/>
        <n v="642.0"/>
        <n v="641.0"/>
        <n v="640.0"/>
        <n v="639.0"/>
        <n v="638.0"/>
        <n v="637.0"/>
        <n v="636.0"/>
        <n v="635.0"/>
        <n v="634.0"/>
        <n v="633.0"/>
        <n v="632.0"/>
        <n v="631.0"/>
        <n v="630.0"/>
        <n v="629.0"/>
        <n v="628.0"/>
        <n v="627.0"/>
        <n v="626.0"/>
        <n v="625.0"/>
        <n v="624.0"/>
        <n v="623.0"/>
        <n v="622.0"/>
        <n v="621.0"/>
        <n v="620.0"/>
        <n v="619.0"/>
        <n v="618.0"/>
        <n v="617.0"/>
        <n v="616.0"/>
        <n v="615.0"/>
        <n v="614.0"/>
        <n v="613.0"/>
        <n v="612.0"/>
        <n v="611.0"/>
        <n v="610.0"/>
        <n v="609.0"/>
        <n v="608.0"/>
        <n v="607.0"/>
        <n v="606.0"/>
        <n v="605.0"/>
        <n v="604.0"/>
        <n v="603.0"/>
        <n v="602.0"/>
        <n v="601.0"/>
        <n v="600.0"/>
        <n v="599.0"/>
        <n v="598.0"/>
        <n v="597.0"/>
        <n v="596.0"/>
        <n v="595.0"/>
        <n v="594.0"/>
        <n v="593.0"/>
        <n v="592.0"/>
        <n v="591.0"/>
        <n v="590.0"/>
        <n v="589.0"/>
        <n v="588.0"/>
        <n v="587.0"/>
        <n v="586.0"/>
        <n v="585.0"/>
        <n v="584.0"/>
        <n v="583.0"/>
        <n v="582.0"/>
        <n v="581.0"/>
        <n v="580.0"/>
        <n v="579.0"/>
        <n v="578.0"/>
        <n v="577.0"/>
        <n v="576.0"/>
        <n v="575.0"/>
        <n v="574.0"/>
        <n v="573.0"/>
        <n v="572.0"/>
        <n v="571.0"/>
        <n v="570.0"/>
        <n v="569.0"/>
        <n v="568.0"/>
        <n v="567.0"/>
        <n v="566.0"/>
        <n v="565.0"/>
        <n v="564.0"/>
        <n v="563.0"/>
        <n v="562.0"/>
        <n v="561.0"/>
        <n v="560.0"/>
        <n v="559.0"/>
        <n v="558.0"/>
        <n v="557.0"/>
        <n v="556.0"/>
        <n v="555.0"/>
        <n v="554.0"/>
        <n v="553.0"/>
        <n v="552.0"/>
        <n v="551.0"/>
        <n v="550.0"/>
        <n v="549.0"/>
        <n v="548.0"/>
        <n v="547.0"/>
        <n v="546.0"/>
        <n v="545.0"/>
        <n v="544.0"/>
        <n v="543.0"/>
        <n v="542.0"/>
        <n v="541.0"/>
        <n v="540.0"/>
        <n v="539.0"/>
        <n v="538.0"/>
        <n v="537.0"/>
        <n v="536.0"/>
        <n v="535.0"/>
        <n v="534.0"/>
        <n v="533.0"/>
        <n v="532.0"/>
        <n v="531.0"/>
        <n v="530.0"/>
        <n v="529.0"/>
        <n v="528.0"/>
        <n v="527.0"/>
        <n v="526.0"/>
        <n v="525.0"/>
        <n v="524.0"/>
        <n v="523.0"/>
        <n v="522.0"/>
        <n v="521.0"/>
        <n v="520.0"/>
        <n v="519.0"/>
        <n v="518.0"/>
        <n v="517.0"/>
        <n v="516.0"/>
        <n v="515.0"/>
        <n v="514.0"/>
        <n v="513.0"/>
        <n v="512.0"/>
        <n v="511.0"/>
        <n v="510.0"/>
        <n v="509.0"/>
        <n v="508.0"/>
        <n v="507.0"/>
        <n v="506.0"/>
        <n v="505.0"/>
        <n v="504.0"/>
        <n v="503.0"/>
        <n v="502.0"/>
        <n v="501.0"/>
        <n v="500.0"/>
        <n v="499.0"/>
        <n v="498.0"/>
        <n v="497.0"/>
        <n v="496.0"/>
        <n v="495.0"/>
        <n v="494.0"/>
        <n v="493.0"/>
        <n v="492.0"/>
        <n v="491.0"/>
        <n v="490.0"/>
        <n v="489.0"/>
        <n v="488.0"/>
        <n v="487.0"/>
        <n v="486.0"/>
        <n v="485.0"/>
        <n v="484.0"/>
        <n v="483.0"/>
        <n v="482.0"/>
        <n v="481.0"/>
        <n v="480.0"/>
        <n v="479.0"/>
        <n v="478.0"/>
        <n v="477.0"/>
        <n v="476.0"/>
        <n v="475.0"/>
        <n v="474.0"/>
        <n v="473.0"/>
        <n v="472.0"/>
        <n v="471.0"/>
        <n v="470.0"/>
        <n v="469.0"/>
        <n v="468.0"/>
        <n v="467.0"/>
        <n v="466.0"/>
        <n v="465.0"/>
        <n v="464.0"/>
        <n v="463.0"/>
        <n v="462.0"/>
        <n v="461.0"/>
        <n v="460.0"/>
        <n v="459.0"/>
        <n v="458.0"/>
        <n v="457.0"/>
        <n v="456.0"/>
        <n v="455.0"/>
        <n v="454.0"/>
        <n v="453.0"/>
        <n v="452.0"/>
        <n v="451.0"/>
        <n v="450.0"/>
        <n v="449.0"/>
        <n v="448.0"/>
        <n v="447.0"/>
        <n v="446.0"/>
        <n v="445.0"/>
        <n v="444.0"/>
        <n v="443.0"/>
        <n v="442.0"/>
        <n v="441.0"/>
        <n v="440.0"/>
        <n v="439.0"/>
        <n v="438.0"/>
        <n v="437.0"/>
        <n v="436.0"/>
        <n v="435.0"/>
        <n v="434.0"/>
        <n v="433.0"/>
        <n v="432.0"/>
        <n v="431.0"/>
        <n v="430.0"/>
        <n v="429.0"/>
        <n v="428.0"/>
        <n v="427.0"/>
        <n v="426.0"/>
        <n v="425.0"/>
        <n v="424.0"/>
        <n v="423.0"/>
        <n v="422.0"/>
        <n v="421.0"/>
        <n v="420.0"/>
        <n v="419.0"/>
        <n v="418.0"/>
        <n v="417.0"/>
        <n v="416.0"/>
        <n v="415.0"/>
        <n v="414.0"/>
        <n v="413.0"/>
        <n v="412.0"/>
        <n v="411.0"/>
        <n v="410.0"/>
        <n v="409.0"/>
        <n v="408.0"/>
        <n v="407.0"/>
        <n v="406.0"/>
        <n v="405.0"/>
        <n v="404.0"/>
        <n v="403.0"/>
        <n v="402.0"/>
        <n v="401.0"/>
        <n v="400.0"/>
        <n v="399.0"/>
        <n v="398.0"/>
        <n v="397.0"/>
        <n v="396.0"/>
        <n v="395.0"/>
        <n v="394.0"/>
        <n v="393.0"/>
        <n v="392.0"/>
        <n v="391.0"/>
        <n v="390.0"/>
        <n v="389.0"/>
        <n v="388.0"/>
        <n v="387.0"/>
        <n v="386.0"/>
        <n v="385.0"/>
        <n v="384.0"/>
        <n v="383.0"/>
        <n v="382.0"/>
        <n v="381.0"/>
        <n v="380.0"/>
        <n v="379.0"/>
        <n v="378.0"/>
        <n v="377.0"/>
        <n v="376.0"/>
        <n v="375.0"/>
        <n v="374.0"/>
        <n v="373.0"/>
        <n v="372.0"/>
        <n v="371.0"/>
        <n v="370.0"/>
        <n v="369.0"/>
        <n v="368.0"/>
        <n v="367.0"/>
        <n v="366.0"/>
        <n v="365.0"/>
        <n v="364.0"/>
        <n v="363.0"/>
        <n v="362.0"/>
        <n v="361.0"/>
        <n v="360.0"/>
        <n v="359.0"/>
        <n v="358.0"/>
        <n v="357.0"/>
        <n v="356.0"/>
        <n v="355.0"/>
        <n v="354.0"/>
        <n v="353.0"/>
        <n v="352.0"/>
        <n v="351.0"/>
        <n v="350.0"/>
        <n v="349.0"/>
        <n v="348.0"/>
        <n v="347.0"/>
        <n v="346.0"/>
        <n v="345.0"/>
        <n v="344.0"/>
        <n v="343.0"/>
        <n v="342.0"/>
        <n v="341.0"/>
        <n v="340.0"/>
        <n v="339.0"/>
        <n v="338.0"/>
        <n v="337.0"/>
        <n v="336.0"/>
        <n v="335.0"/>
        <n v="334.0"/>
        <n v="333.0"/>
        <n v="332.0"/>
        <n v="331.0"/>
        <n v="330.0"/>
        <n v="329.0"/>
        <n v="328.0"/>
        <n v="327.0"/>
        <n v="326.0"/>
        <n v="325.0"/>
        <n v="324.0"/>
        <n v="323.0"/>
        <n v="322.0"/>
        <n v="321.0"/>
        <n v="320.0"/>
        <n v="319.0"/>
        <n v="318.0"/>
        <n v="317.0"/>
        <n v="316.0"/>
        <n v="315.0"/>
        <n v="314.0"/>
        <n v="313.0"/>
        <n v="312.0"/>
        <n v="311.0"/>
        <n v="310.0"/>
        <n v="309.0"/>
        <n v="308.0"/>
        <n v="307.0"/>
        <n v="306.0"/>
        <n v="305.0"/>
        <n v="304.0"/>
        <n v="303.0"/>
        <n v="302.0"/>
        <n v="301.0"/>
        <n v="300.0"/>
        <n v="299.0"/>
        <n v="298.0"/>
        <n v="297.0"/>
        <n v="296.0"/>
        <n v="295.0"/>
        <n v="294.0"/>
        <n v="293.0"/>
        <n v="292.0"/>
        <n v="291.0"/>
        <n v="290.0"/>
        <n v="289.0"/>
        <n v="288.0"/>
        <n v="287.0"/>
        <n v="286.0"/>
        <n v="285.0"/>
        <n v="284.0"/>
        <n v="283.0"/>
        <n v="282.0"/>
        <n v="281.0"/>
        <n v="280.0"/>
        <n v="279.0"/>
        <n v="278.0"/>
        <n v="277.0"/>
        <n v="276.0"/>
        <n v="275.0"/>
        <n v="274.0"/>
        <n v="273.0"/>
        <n v="272.0"/>
        <n v="271.0"/>
        <n v="270.0"/>
        <n v="269.0"/>
        <n v="268.0"/>
        <n v="267.0"/>
        <n v="266.0"/>
        <n v="265.0"/>
        <n v="264.0"/>
        <n v="263.0"/>
        <n v="262.0"/>
        <n v="261.0"/>
        <n v="260.0"/>
        <n v="259.0"/>
        <n v="258.0"/>
        <n v="257.0"/>
        <n v="256.0"/>
        <n v="255.0"/>
        <n v="254.0"/>
        <n v="253.0"/>
        <n v="252.0"/>
        <n v="251.0"/>
        <n v="250.0"/>
        <n v="249.0"/>
        <n v="248.0"/>
        <n v="247.0"/>
        <n v="246.0"/>
        <n v="245.0"/>
        <n v="244.0"/>
        <n v="243.0"/>
        <n v="242.0"/>
        <n v="241.0"/>
        <n v="240.0"/>
        <n v="239.0"/>
        <n v="238.0"/>
        <n v="237.0"/>
        <n v="236.0"/>
        <n v="235.0"/>
        <n v="234.0"/>
        <n v="233.0"/>
        <n v="232.0"/>
        <n v="231.0"/>
        <n v="230.0"/>
        <n v="229.0"/>
        <n v="228.0"/>
        <n v="227.0"/>
        <n v="226.0"/>
        <n v="225.0"/>
        <n v="224.0"/>
        <n v="223.0"/>
        <n v="222.0"/>
        <n v="221.0"/>
        <n v="220.0"/>
        <n v="219.0"/>
        <n v="218.0"/>
        <n v="217.0"/>
        <n v="216.0"/>
        <n v="215.0"/>
        <n v="214.0"/>
        <n v="213.0"/>
        <n v="212.0"/>
        <n v="211.0"/>
        <n v="210.0"/>
        <n v="209.0"/>
        <n v="208.0"/>
        <n v="207.0"/>
        <n v="206.0"/>
        <n v="205.0"/>
        <n v="204.0"/>
        <n v="203.0"/>
        <n v="202.0"/>
        <n v="201.0"/>
        <n v="200.0"/>
        <n v="199.0"/>
        <n v="198.0"/>
        <n v="197.0"/>
        <n v="196.0"/>
        <n v="195.0"/>
        <n v="194.0"/>
        <n v="193.0"/>
        <n v="192.0"/>
        <n v="191.0"/>
        <n v="190.0"/>
        <n v="189.0"/>
        <n v="188.0"/>
        <n v="187.0"/>
        <n v="186.0"/>
        <n v="185.0"/>
        <n v="184.0"/>
        <n v="183.0"/>
        <n v="182.0"/>
        <n v="181.0"/>
        <n v="180.0"/>
        <n v="179.0"/>
        <n v="178.0"/>
        <n v="177.0"/>
        <n v="176.0"/>
        <n v="175.0"/>
        <n v="174.0"/>
        <n v="173.0"/>
        <n v="172.0"/>
        <n v="171.0"/>
        <n v="170.0"/>
        <n v="169.0"/>
        <n v="168.0"/>
        <n v="167.0"/>
        <n v="166.0"/>
        <n v="165.0"/>
        <n v="164.0"/>
        <n v="163.0"/>
        <n v="162.0"/>
        <n v="161.0"/>
        <n v="160.0"/>
        <n v="159.0"/>
        <n v="158.0"/>
        <n v="157.0"/>
        <n v="156.0"/>
        <n v="155.0"/>
        <n v="154.0"/>
        <n v="153.0"/>
        <n v="152.0"/>
        <n v="151.0"/>
        <n v="150.0"/>
        <n v="149.0"/>
        <n v="148.0"/>
        <n v="147.0"/>
        <n v="146.0"/>
        <n v="145.0"/>
        <n v="144.0"/>
        <n v="143.0"/>
        <n v="142.0"/>
        <n v="141.0"/>
        <n v="140.0"/>
        <n v="139.0"/>
        <n v="138.0"/>
        <n v="137.0"/>
        <n v="136.0"/>
        <n v="135.0"/>
        <n v="134.0"/>
        <n v="133.0"/>
        <n v="132.0"/>
        <n v="131.0"/>
        <n v="130.0"/>
        <n v="129.0"/>
        <n v="128.0"/>
        <n v="127.0"/>
        <n v="126.0"/>
        <n v="125.0"/>
        <n v="124.0"/>
        <n v="123.0"/>
        <n v="122.0"/>
        <n v="121.0"/>
        <n v="120.0"/>
        <n v="119.0"/>
        <n v="118.0"/>
        <n v="117.0"/>
        <n v="116.0"/>
        <n v="115.0"/>
        <n v="114.0"/>
        <n v="113.0"/>
        <n v="112.0"/>
        <n v="111.0"/>
        <n v="110.0"/>
        <n v="109.0"/>
        <n v="108.0"/>
        <n v="107.0"/>
        <n v="106.0"/>
        <n v="105.0"/>
        <n v="104.0"/>
        <n v="103.0"/>
        <n v="102.0"/>
        <n v="101.0"/>
        <n v="100.0"/>
        <n v="99.0"/>
        <n v="98.0"/>
        <n v="97.0"/>
        <n v="96.0"/>
        <n v="95.0"/>
        <n v="94.0"/>
        <n v="93.0"/>
        <n v="92.0"/>
        <n v="91.0"/>
        <n v="90.0"/>
        <n v="89.0"/>
        <n v="88.0"/>
        <n v="87.0"/>
        <n v="86.0"/>
        <n v="85.0"/>
        <n v="84.0"/>
        <n v="83.0"/>
        <n v="82.0"/>
        <n v="81.0"/>
        <n v="80.0"/>
        <n v="79.0"/>
        <n v="78.0"/>
        <n v="77.0"/>
        <n v="76.0"/>
        <n v="75.0"/>
        <n v="74.0"/>
        <n v="73.0"/>
        <n v="72.0"/>
        <n v="71.0"/>
        <n v="70.0"/>
        <n v="69.0"/>
        <n v="68.0"/>
        <n v="67.0"/>
        <n v="66.0"/>
        <n v="65.0"/>
        <n v="64.0"/>
        <n v="63.0"/>
        <n v="62.0"/>
        <n v="61.0"/>
        <n v="60.0"/>
        <n v="59.0"/>
        <n v="58.0"/>
        <n v="57.0"/>
        <n v="56.0"/>
        <n v="55.0"/>
        <n v="54.0"/>
        <n v="53.0"/>
        <n v="52.0"/>
        <n v="51.0"/>
        <n v="50.0"/>
        <n v="49.0"/>
        <n v="48.0"/>
        <n v="47.0"/>
        <n v="46.0"/>
        <n v="45.0"/>
        <n v="44.0"/>
        <n v="43.0"/>
        <n v="42.0"/>
        <n v="41.0"/>
        <n v="40.0"/>
        <n v="39.0"/>
        <n v="38.0"/>
        <n v="37.0"/>
        <n v="36.0"/>
        <n v="35.0"/>
        <n v="34.0"/>
        <n v="33.0"/>
        <n v="32.0"/>
        <n v="31.0"/>
        <n v="30.0"/>
        <n v="29.0"/>
        <n v="28.0"/>
        <n v="27.0"/>
        <n v="26.0"/>
        <n v="25.0"/>
        <n v="24.0"/>
        <n v="23.0"/>
        <n v="22.0"/>
        <n v="21.0"/>
        <n v="20.0"/>
        <n v="19.0"/>
        <n v="18.0"/>
        <n v="17.0"/>
        <n v="16.0"/>
        <n v="15.0"/>
        <n v="14.0"/>
        <n v="13.0"/>
        <n v="12.0"/>
        <n v="11.0"/>
        <n v="10.0"/>
        <n v="9.0"/>
        <n v="8.0"/>
        <n v="7.0"/>
        <n v="6.0"/>
        <n v="5.0"/>
        <n v="4.0"/>
        <n v="3.0"/>
        <n v="2.0"/>
        <n v="1.0"/>
        <m/>
      </sharedItems>
    </cacheField>
    <cacheField name="Vessel name" numFmtId="0">
      <sharedItems containsBlank="1">
        <s v="TQ SAMSUN"/>
        <s v="TK MAJESTIC"/>
        <s v="MY LAMA"/>
        <s v="MINOAN FLAME"/>
        <s v="LADY MERAL"/>
        <s v="SANTY (WFP)"/>
        <s v="RUBY-T"/>
        <s v="BREEZE"/>
        <s v="CAPTAIN V. MADIAS"/>
        <s v="AUSCA 1 "/>
        <s v="AKDENIZ M (WFP)"/>
        <s v="AGAPI S"/>
        <s v="SSI CHALLENGER"/>
        <s v="STAR SAPPHIRE"/>
        <s v="ANTHOS"/>
        <s v="KARTERIA"/>
        <s v="CAPTAIN J. NEOFOTISTOS"/>
        <s v="WADI ALARAB"/>
        <s v="GENEVE"/>
        <s v="MANTA HACER (WFP)"/>
        <s v="NAVIOS SAGITTARIUS"/>
        <s v="KEREM"/>
        <s v="ANDROS SPIRIT "/>
        <s v="SSI AVENGER"/>
        <s v="SANTORINI ISLAND"/>
        <s v="EUROSTAR"/>
        <s v="DIAS"/>
        <s v="SEA COMMANDER"/>
        <s v="TANG LAND"/>
        <s v="LENI"/>
        <s v="MARLEN"/>
        <s v="EDFU"/>
        <s v="SUPER MARTINELLI"/>
        <s v="BR VICTORY"/>
        <s v="GARNET"/>
        <s v="PHOENIX DAWN"/>
        <s v="NIKOLAOS S"/>
        <s v="NESTOR S"/>
        <s v="LUZON"/>
        <s v="ATALANTIS"/>
        <s v="LADY AYANA"/>
        <s v="YING HAO 02"/>
        <s v="KYDONIA"/>
        <s v="ELENA VE"/>
        <s v="ZERMATT"/>
        <s v="NEW EXPLORER"/>
        <s v="DONNA JUDI"/>
        <s v="XIN SHUN"/>
        <s v="MAROULIO S"/>
        <s v="F-LINE"/>
        <s v="ELEFSIS"/>
        <s v="MEROVING"/>
        <s v="DSM CAPELLA"/>
        <s v="SEAEAGLE"/>
        <s v="K SUKRET"/>
        <s v="MASTRO MITROS"/>
        <s v="DENIZ M (WFP)"/>
        <s v="PACIFIC ROSE"/>
        <s v="NAVIOS HOPE"/>
        <s v="QUEEN LILA"/>
        <s v="MARIA"/>
        <s v="AG VALOR"/>
        <s v="LADY ZEHMA"/>
        <s v="ENEIDA"/>
        <s v="MAHA JACQUELINE"/>
        <s v="WADI ALKARM"/>
        <s v="MAGNUM POWER"/>
        <s v="LUCKY GLORY"/>
        <s v="NEW VENTURE"/>
        <s v="NADA"/>
        <s v="LADY ZEHRA"/>
        <s v="BELLA JUDI"/>
        <s v="TORC"/>
        <s v="EUROSUN"/>
        <s v="SOFIA"/>
        <s v="BC LARA"/>
        <s v="ISLANDER"/>
        <s v="CHRYSANTHI S"/>
        <s v="CHAMPION PULA"/>
        <s v="FAIA G"/>
        <s v="ST. DIMITRIOS"/>
        <s v="NEW VICTORY"/>
        <s v="FATMA SARI"/>
        <s v="SEA BAZOU"/>
        <s v="RUBYMAR"/>
        <s v="OCEANMASTER"/>
        <s v="AEGEA"/>
        <s v="MICHALAKIS"/>
        <s v="AMFITRITI"/>
        <s v="TRAMP LADY"/>
        <s v="ASL YANGPU"/>
        <s v="KIRAN BOSPHORUS "/>
        <s v="KESTREL S"/>
        <s v="HONORINE"/>
        <s v="BOSPHORUS ASIA"/>
        <s v="CPT GEORGIOS S"/>
        <s v="ARGO I "/>
        <s v="SUPER BERGKAMP"/>
        <s v="AK HALIMA"/>
        <s v="IKARIA ANGEL"/>
        <s v="GLORIA G"/>
        <s v="ELLINA"/>
        <s v="LUCENT"/>
        <s v="GLORIOUS SEA (WFP)"/>
        <s v="POPI S"/>
        <s v="OMICRON ATLAS"/>
        <s v="FORTUNE PROSPERITY"/>
        <s v="DIAMANTI"/>
        <s v="AMANO T"/>
        <s v="SSI NEMESIS"/>
        <s v="GULMAR"/>
        <s v="SERVET ANA"/>
        <s v="GREAT VENTURE"/>
        <s v="CHAMPION ENDURANCE"/>
        <s v="IRENE MADIAS"/>
        <s v="OMICRON TITINA"/>
        <s v="DEEP BLUE"/>
        <s v="CORNELIA"/>
        <s v="SEA INSPIRATION"/>
        <s v="LADY AYSE"/>
        <s v="FALCON S"/>
        <s v="SUMMER LADY"/>
        <s v="ZHENG HUI"/>
        <s v="VERBIER"/>
        <s v="VALERIO"/>
        <s v="OCEAN ROYAL"/>
        <s v="KINGFISHER D"/>
        <s v="GLORIA M"/>
        <s v="CHAMPION TIDE"/>
        <s v="NEW HORIZON"/>
        <s v="CAPE SCOTT"/>
        <s v="AKSON SERIN"/>
        <s v="ADAM A"/>
        <s v="YING HAO 03"/>
        <s v="STELIOS B"/>
        <s v="NAZMI S"/>
        <s v="EVINOS"/>
        <s v="IASOS"/>
        <s v="MENTOR"/>
        <s v="MAGNUM"/>
        <s v="SWORD LION"/>
        <s v="GALAXY"/>
        <s v="ESNA"/>
        <s v="SANITA S"/>
        <s v="PS QUEEN"/>
        <s v="MISS LAILA"/>
        <s v="XIN YU"/>
        <s v="SERENITY IBTIHAJ"/>
        <s v="SANTA MARIA"/>
        <s v="DIAMOND-T"/>
        <s v="THE WISE"/>
        <s v="LILA MUNDRA "/>
        <s v="RISING LION"/>
        <s v="HAFINA AXINITE"/>
        <s v="ASL ILEANA"/>
        <s v="NEGMAR CICEK (WFP)"/>
        <s v="FAIR LADY"/>
        <s v="AT 27"/>
        <s v="ABK TIGER"/>
        <s v="RIZABEY"/>
        <s v="NERAKI"/>
        <s v="AMARILLO"/>
        <s v="TAILWINDS"/>
        <s v="MR TRADER"/>
        <s v="MOAYAD Y"/>
        <s v="JAOHAR ADAM"/>
        <s v="DS MANATEE"/>
        <s v="IOANNIS THEO"/>
        <s v="BC CALLISTO"/>
        <s v="LUGANO"/>
        <s v="LADY JAMILA"/>
        <s v="NEW ISLAND"/>
        <s v="AQUA LADY"/>
        <s v="SSI PRIDE"/>
        <s v="DS SOFIE BULKER"/>
        <s v="LEDA C"/>
        <s v="DINA T"/>
        <s v="STEFANOS T"/>
        <s v="PROTECTOR ST. RAPHAEL"/>
        <s v="CAPTAIN P.EGGLEZOS "/>
        <s v="BLUE BEAD"/>
        <s v="NAHIDE M"/>
        <s v="EVANGELISTRIA"/>
        <s v="YASA UNITY"/>
        <s v="TELERI M"/>
        <s v="FRANCESCO CORRADO"/>
        <s v="YASA TEAM"/>
        <s v="OCEANIC LEADER"/>
        <s v="NAVIOS ORBITER"/>
        <s v="GREENER"/>
        <s v="CHRISTINA"/>
        <s v="CHEM HERO"/>
        <s v="ZHENG RUN"/>
        <s v="IOLCOS FIGHTER"/>
        <s v="ZHENG KAI"/>
        <s v="INTEGRALE"/>
        <s v="LADY LAGUNA"/>
        <s v="LAAX"/>
        <s v="DAYTONA DYNAMIC"/>
        <s v="ANDREA VICTORY"/>
        <s v="GAT FEELING"/>
        <s v="WINNER"/>
        <s v="PANJALI TEYMUROV"/>
        <s v="PANGEO"/>
        <s v="IDC DIAMOND"/>
        <s v="GRAECIA UNIVERSALIS"/>
        <s v="CHOLA MELODY"/>
        <s v="BRAVE LEADER"/>
        <s v="PROFESSOR WENGER"/>
        <s v="MAHA ROOS"/>
        <s v="AVRA I "/>
        <s v="THE STRONG"/>
        <s v="ARSLAND"/>
        <s v="MIM VANGELIS JR."/>
        <s v="ETERNAL BRIGHT"/>
        <s v="LASKARO S"/>
        <s v="GENEVE   "/>
        <s v="ASTRA PERSEUS"/>
        <s v="ANDONIS"/>
        <s v="NEW LIBERTY"/>
        <s v="SEAGUARDIAN"/>
        <s v="GLORIOUS SEA"/>
        <s v="ASKIO"/>
        <s v="YASA EMIRHAN"/>
        <s v="AMBER S"/>
        <s v="EAGLE TRADER"/>
        <s v="MAVKA"/>
        <s v="PUNKT"/>
        <s v="PUMA MAX"/>
        <s v="NEW AMBITION"/>
        <s v="STAR NADZIYE"/>
        <s v="PETREL S"/>
        <s v="TAMREY S"/>
        <s v="SUNBEAM"/>
        <s v="SCARLET LADY"/>
        <s v="VALSAMITIS (WFP)"/>
        <s v="ROYAL STAR (WFP)"/>
        <s v="RISING FALCON"/>
        <s v="MOHAMAD M"/>
        <s v="INTERCEPTOR"/>
        <s v="GANNET S"/>
        <s v="NEW HARVEST"/>
        <s v="NEW ENAS"/>
        <s v="MAHA AARTI"/>
        <s v="POCHARD S"/>
        <s v="NORD VIND"/>
        <s v="RISING EAGLE"/>
        <s v="NIZAR"/>
        <s v="INCE MARMARA"/>
        <s v="FORTUNE EXPRESS"/>
        <s v="DANAE"/>
        <s v="AKSON SARA"/>
        <s v="SEA MAJESTIC"/>
        <s v="LILA SEOUL"/>
        <s v="NEPTULUS"/>
        <s v="EIDER S"/>
        <s v="PLEVNE"/>
        <s v="OCEAN GLSR"/>
        <s v="BASEL ATHENA"/>
        <s v="ARGO I"/>
        <s v="ZHENG JUN"/>
        <s v="OCEAN S"/>
        <s v="SSI VIGILANT"/>
        <s v="ZHENG HENG"/>
        <s v="STELLAR LADY"/>
        <s v="QUEEN JUDI"/>
        <s v="LADY SPERANZA"/>
        <s v="SAKARYA"/>
        <s v="LADY PERLA"/>
        <s v="HALIT YILDIRIM"/>
        <s v="WADI S"/>
        <s v="THE ETERNAL"/>
        <s v="SKYFALL"/>
        <s v="SATURN J"/>
        <s v="SAINT MYRON"/>
        <s v="NIHAT-M"/>
        <s v="MINOAN SKY"/>
        <s v="PEACE M"/>
        <s v="DENSA PELICAN"/>
        <s v="DALIAN STAR D"/>
        <s v="YOGA"/>
        <s v="ZHE HAI 525"/>
        <s v="NORD STARK"/>
        <s v="CETUS"/>
        <s v="AMFITRION"/>
        <s v="SUPER ARSENAL"/>
        <s v="HPC UNITY"/>
        <s v="ELLY"/>
        <s v="CIHAN"/>
        <s v="BLUE SHARK"/>
        <s v="AGERI"/>
        <s v="YASA H. MULLA"/>
        <s v="CHARLES"/>
        <s v="THE RULER"/>
        <s v="MANNA"/>
        <s v="LOLO GATE"/>
        <s v="BARRA"/>
        <s v="WEI HE"/>
        <s v="GLOBE DANAE"/>
        <s v="MOHAMAD Y"/>
        <s v="LUCA"/>
        <s v="KLC ERCIYES"/>
        <s v="DARYA MA"/>
        <s v="TYCOON"/>
        <s v="TUTOR"/>
        <s v="DSM STAR"/>
        <s v="CALYPSO V"/>
        <s v="ARCTURUS"/>
        <s v="KHALED A"/>
        <s v="NORDEA STAR"/>
        <s v="ATA"/>
        <s v="AMYNTOR"/>
        <s v="BC VANESSA"/>
        <s v="AMIRA HANA (WFP)"/>
        <s v="EVRIALI"/>
        <s v="ZHENG YAO"/>
        <s v="MRC SEDEF"/>
        <s v="AVIVA"/>
        <s v="MANA"/>
        <s v="ANDROS SPIRIT"/>
        <s v="GANOSAYA"/>
        <s v="ER NAZIRE"/>
        <s v="NAVIOS HELIOS"/>
        <s v="GREAT ARSENAL"/>
        <s v="REACHY SUMMER"/>
        <s v="KING LAN"/>
        <s v="ERICA"/>
        <s v="DYNAMIC M"/>
        <s v="ANTHEIA (WFP)"/>
        <s v="DERG"/>
        <s v="UMIT G"/>
        <s v="SOLAR"/>
        <s v="RIO"/>
        <s v="PAPUA"/>
        <s v="NEW FAITH"/>
        <s v="MUZAFFER ANA"/>
        <s v="LADY HATICE"/>
        <s v="GEORGIA T"/>
        <s v="CUMA"/>
        <s v="BOSPHORUS KING"/>
        <s v="LADY LITEL"/>
        <s v="EAST WIND I"/>
        <s v="TRUE HARMONY"/>
        <s v="MKK 1"/>
        <s v="LEO I"/>
        <s v="BOMUSTAFA O"/>
        <s v="MED ISLAND"/>
        <s v="LADY DIVINA"/>
        <s v="STAR GALAXY"/>
        <s v="SAADET C"/>
        <s v="MAHA TANAYA"/>
        <s v="SHEN YU 79"/>
        <s v="PRESIGNE"/>
        <s v="MONA KH"/>
        <s v="VELVET"/>
        <s v="SUPER ODEGAARD"/>
        <s v="SELIN D"/>
        <s v="PANTHER MAX"/>
        <s v="CHRYSSA K"/>
        <s v="WHITE FIN"/>
        <s v="SEYMA"/>
        <s v="AILEEN"/>
        <s v="ZEINAB"/>
        <s v="VALSAMITIS"/>
        <s v="LUCKY"/>
        <s v="INOI"/>
        <s v="GREEN K-MAX2"/>
        <s v="MONTARA"/>
        <s v="KIRAN ADRIATIC"/>
        <s v="EUROCHAMPION"/>
        <s v="ALANDA STAR"/>
        <s v="SSI PRIVILEGE"/>
        <s v="PROFESSOR B"/>
        <s v="PHAIDRA"/>
        <s v="GLORY"/>
        <s v="FANEROMENI"/>
        <s v="HAJE ZAINAB"/>
        <s v="ANTONIA S"/>
        <s v="ZOI XL"/>
        <s v="EVOIKOS THEO"/>
        <s v="BRAVE M"/>
        <s v="A LINE"/>
        <s v="TUO FU 8"/>
        <s v="BLUE ONE"/>
        <s v="SEA BRIDLE"/>
        <s v="FUAT BEY"/>
        <s v="SEVIL"/>
        <s v="HALIM M"/>
        <s v="DIAS "/>
        <s v="ACRA"/>
        <s v="ULUSOY 8"/>
        <s v="PRINCESS MANISSA"/>
        <s v="INCE ATLANTIC"/>
        <s v="CYCLADES"/>
        <s v="BARBAROS HAYRETTIN VARDAL"/>
        <s v="NYMPHI"/>
        <s v="ALMERAY"/>
        <s v="STAR EMERALD"/>
        <s v="YAF S"/>
        <s v="SELINA II"/>
        <s v="MED PACIFIC"/>
        <s v="ADNAN TORLAK"/>
        <s v="RIDER"/>
        <s v="CHOLA VIRTUE"/>
        <s v="LADY YOUMNA"/>
        <s v="JAGUAR MAX"/>
        <s v="IOANNIS K"/>
        <s v="TINA S"/>
        <s v="PATRICIA V"/>
        <s v="INASE"/>
        <s v="AGIOS NIKOLAOS"/>
        <s v="LARA S"/>
        <s v="GUDENA"/>
        <s v="NEVA (WFP)"/>
        <s v="FULMAR S"/>
        <s v="AEOLIAN VISION"/>
        <s v="XIN FENG"/>
        <s v="SUGAR"/>
        <s v="ALEXANDROS III"/>
        <s v="BC RAEDA"/>
        <s v="JUNIPER"/>
        <s v="BC CALLISTO (WFP)"/>
        <s v="QUEEN SARA"/>
        <s v="CPT DIMITRIOS S"/>
        <s v="BR GLORY"/>
        <s v="ATHINA II"/>
        <s v="ASPASIA LUCK"/>
        <s v="TRINITY"/>
        <s v="STAR ATLAS"/>
        <s v="ORIS PRINCESS"/>
        <s v="NORDIC SKAGEN"/>
        <s v="GOLDEN ARSENAL"/>
        <s v="AL SAAD"/>
        <s v="OMICRON SKY"/>
        <s v="BARONESS"/>
        <s v="MARIA GS"/>
        <s v="LADY SHAM"/>
        <s v="INCEPTION"/>
        <s v="FANARIA"/>
        <s v="SAUVAN"/>
        <s v="PORT ALBERNI"/>
        <s v="CS CIHAN"/>
        <s v="BERDEN"/>
        <s v="VASILIY BOZHENKO"/>
        <s v="PUFFIN S"/>
        <s v="MRC SEMIRAMIS"/>
        <s v="ELLIREA"/>
        <s v="OLMA"/>
        <s v="NIKOLAS D"/>
        <s v="TASOS"/>
        <s v="PANAGIA KANALA"/>
        <s v="ODYSSEUS N"/>
        <s v="CAPTAIN ADAMS"/>
        <s v="ANNABELLA"/>
        <s v="GHADA A"/>
        <s v="SUPER SAKA"/>
        <s v="GOKOVA-M (WFP)"/>
        <s v="PLUTUS"/>
        <s v="PARALOS"/>
        <s v="NORD VIND (WFP)"/>
        <s v="NORAN"/>
        <s v="MIM VANGELIS JR"/>
        <s v="ELENI M"/>
        <s v="ABILENE"/>
        <s v="CAPTAIN P EGGLEZOS"/>
        <s v="BOZBURUN-M (WFP)"/>
        <s v="AYSHA M"/>
        <s v="OTAGO BAY"/>
        <s v="LUNE B"/>
        <s v="CANGA STAR"/>
        <s v="STAVROS"/>
        <s v="SSI ERDOGAN BEY"/>
        <s v="PS PELICAN"/>
        <s v="LADY SEMA"/>
        <s v="CEBIHAN"/>
        <s v="BESIKTAS ICELAND"/>
        <s v="BELFOREST"/>
        <s v="PROPUS"/>
        <s v="MED ATLANTIC"/>
        <s v="TZAREVICH"/>
        <s v="SALLY M"/>
        <s v="BAHAR K"/>
        <s v="BRAVE"/>
        <s v="MAINLAND"/>
        <s v="DUZGIT INTEGRITY"/>
        <s v="ESENTEPE"/>
        <s v="CHRISTINA B"/>
        <s v="SVETI DUJAM"/>
        <s v="RATTANA NAREE"/>
        <s v="KEY KNIGHT"/>
        <s v="NIMET TORLAK"/>
        <s v="MOUNT BAKER"/>
        <s v="KARAMEL"/>
        <s v="CARAVOS HARMONY"/>
        <s v="ADMIRAL DE RIBAS"/>
        <s v="SK FRIENDSHIP"/>
        <s v="SEALOCK"/>
        <s v="NIKOLAOS A"/>
        <s v="IKARIA ANGEL (WFP)"/>
        <s v="DESPINA V"/>
        <s v="AFRICAN ROBIN"/>
        <s v="ST SOFIA"/>
        <s v="CAPTAIN ADAM 1"/>
        <s v="ZANTE"/>
        <s v="SUPER BAYERN"/>
        <s v="LINA"/>
        <s v="KAVO PERDIKA"/>
        <s v="ASL TIA"/>
        <s v="STELLA GS"/>
        <s v="ORIS JUL"/>
        <s v="NESA"/>
        <s v="AHMET AGAOGLU"/>
        <s v="ADIL IBRAHIMLI"/>
        <s v="ZUMRUT ANA"/>
        <s v="SAHIN 1"/>
        <s v="REGIUS"/>
        <s v="PEARL T"/>
        <s v="KAPTAN ARIF BAYRAKTAR"/>
        <s v="MBC DAISY"/>
        <s v="FLAG LAMA"/>
        <s v="C FAITH"/>
        <s v="BSL CALYPSO"/>
        <s v="PANGEO (WFP)"/>
        <s v="MAGPIE S"/>
        <s v="I.B. MAMMADZADEH"/>
        <s v="ISLAND BAY"/>
        <s v="YASA VENUS"/>
        <s v="MRC MINA"/>
        <s v="MILLAC"/>
        <s v="DEMA"/>
        <s v="ALPHA"/>
        <s v="ARIS T"/>
        <s v="ATLANTIS ALMERIA"/>
        <s v="KUBROSLI Y"/>
        <s v="KEMAL KURU"/>
        <s v="DENSA DEFNE"/>
        <s v="DAYTONA H"/>
        <s v="CS CALVINA"/>
        <s v="ALMIRANTE STORNI"/>
        <s v="MATRIX"/>
        <s v="HASAN"/>
        <s v="ESENCE"/>
        <s v="GLOBAL AGLAIA"/>
        <s v="GEN. POLAD HASHIMOV"/>
        <s v="CHOLA TREASURE"/>
        <s v="ADMIRAL"/>
        <s v="OMICRON CREST"/>
        <s v="HELGA"/>
        <s v="EAUBONNE"/>
        <s v="NEW LEVANT"/>
        <s v="MRC HATICE ANA"/>
        <s v="LADY ELA"/>
        <s v="GOLDEN SHARK"/>
        <s v="BEATRICE"/>
        <s v="BARON"/>
        <s v="SEA LUCK"/>
        <s v="IRMGARD"/>
        <s v="DIGNITY"/>
        <s v="AK HAMZA"/>
        <s v="SIMAS"/>
        <s v="JASMIN QUEEN"/>
        <s v="ELIF S"/>
        <s v="EGE BEY"/>
        <s v="AGNES VICTORY"/>
        <s v="SEA PEARL J"/>
        <s v="MELINA"/>
        <s v="LUCKY TRADER"/>
        <s v="INCE EVRENYE"/>
        <s v="HAZAR S"/>
        <s v="ERDEK"/>
        <s v="TAJ"/>
        <s v="MEHMET BEY"/>
        <s v="JAGUAR"/>
        <s v="ISLANDER A"/>
        <s v="EKMEN TRANS"/>
        <s v="WAEL K"/>
        <s v="SAKAR"/>
        <s v="MERCURIUS"/>
        <s v="HIRA V"/>
        <s v="CKR ZEYNEP"/>
        <s v="BOYNE"/>
        <s v="ARGONAUT"/>
        <s v="ALI A"/>
        <s v="SHAMAN WISDOM"/>
        <s v="ORIS SOFI"/>
        <s v="LAURUS"/>
        <s v="LADY EVA"/>
        <s v="CORNELIA M"/>
        <s v="NEW ISLAND (WFP)"/>
        <s v="BURAK DEVAL"/>
        <s v="ZHE HAI 505"/>
        <s v="WHITE STAR"/>
        <s v="SILVER LADY"/>
        <s v="SEA STAR"/>
        <s v="MERA"/>
        <s v="MAGNOLIA"/>
        <s v="HASAN G"/>
        <s v="ANASTASIA"/>
        <s v="MRC LINA"/>
        <s v="BRIZA"/>
        <s v="SSI RELIANCE"/>
        <s v="SAM"/>
        <s v="PRETTY LADY"/>
        <s v="INANDI"/>
        <s v="SPRING"/>
        <s v="SAFFET AGA"/>
        <s v="NAVIN FALCON"/>
        <s v="MICHALIS"/>
        <s v="KALLIOPI S"/>
        <s v="FPMC B 201"/>
        <s v="SANN TRO"/>
        <s v="LILA II"/>
        <s v="DOGA K"/>
        <s v="STELLINA"/>
        <s v="PS DREAM"/>
        <s v="AHMET CAN"/>
        <s v="ELEANORA"/>
        <s v="PATRONUS"/>
        <s v="NAVIN KESTREL"/>
        <s v="MAGNUM FORTUNE"/>
        <s v="FREZYA S"/>
        <s v="SARA"/>
        <s v="NAZENIN"/>
        <s v="MARAN EXCELLENCE"/>
        <s v="LEADER M"/>
        <s v="CHIOS SUNRISE"/>
        <s v="USICHEM"/>
        <s v="MOONLIGHT"/>
        <s v="HERMES"/>
        <s v="CHIOS FREEDOM"/>
        <s v="BLUE STAR"/>
        <s v="ATA-2"/>
        <s v="SAXONA"/>
        <s v="MUBARIZ IBRAHIMOV"/>
        <s v="DANO"/>
        <s v="ZEKO Y"/>
        <s v="SEA DOVE"/>
        <s v="NIL DEMIR"/>
        <s v="MO GAN SHAN"/>
        <s v="MERRY M"/>
        <s v="GEM STAR"/>
        <s v="FORTUNA"/>
        <s v="ORIS MARINE"/>
        <s v="ELLIE M"/>
        <s v="BC VANESSA (WFP)"/>
        <s v="ANT"/>
        <s v="ALSU"/>
        <s v="SWIMMER"/>
        <s v="LEONORA VICTORY"/>
        <s v="CENK M"/>
        <s v="BRIGHT STAR"/>
        <s v="PGE RAIN"/>
        <s v="PAULINE"/>
        <s v="APHRODITE M"/>
        <s v="TOMAHAWK"/>
        <s v="KAUNAS"/>
        <s v="KAFKAM ETLER"/>
        <s v="GENOA"/>
        <s v="CPT. AHMAD II"/>
        <s v="ADELHEID BR"/>
        <s v="VELVET ROSE"/>
        <s v="HORUS"/>
        <s v="GOZO"/>
        <s v="OCTOPUS"/>
        <s v="NAVIN VULTURE"/>
        <s v="NORAH"/>
        <s v="MAHER"/>
        <s v="KAN 2"/>
        <s v="ASTRA CENTAURUS"/>
        <s v="CENK CAR"/>
        <s v="GLORY DINA"/>
        <s v="INCE AKDENIZ"/>
        <s v="T-MED"/>
        <s v="MARANTA"/>
        <s v="GREIFSWALD"/>
        <s v="ATA OCEAN"/>
        <s v="WIN SINO"/>
        <s v="HADAR"/>
        <s v="S-BRILLIANT"/>
        <s v="PRINCESS AMNAH"/>
        <s v="KIRAN AMERICA"/>
        <s v="SANTANA"/>
        <s v="FILYOZ"/>
        <s v="KAPTAN CEVDET"/>
        <s v="ELIANA"/>
        <s v="SUPER HENRY"/>
        <s v="OCMIS ADVENTURE"/>
        <s v="VITIS"/>
        <s v="MY MERAY"/>
        <s v="GOLDEN YARA"/>
        <s v="NORD VIRGO"/>
        <s v="AFANASIY MATYSHENKO"/>
        <s v="MAINA"/>
        <s v="SEA DOLPHIN C"/>
        <s v="CANOPUS"/>
        <s v="KATSUYAMA"/>
        <s v="MASSA J"/>
        <s v="MARAN ASTRONOMER"/>
        <s v="LADY AILLAR"/>
        <s v="KARTERIA (WFP)"/>
        <s v="SEAJOY"/>
        <s v="ASH BALTIC"/>
        <s v="AEOLOS"/>
        <s v="SSI INVINCIBLE II"/>
        <s v="S BREEZE"/>
        <s v="ZELEK STAR"/>
        <s v="ASCANIOS"/>
        <s v="BELLIS"/>
        <s v="FOYLE"/>
        <s v="DA LIANG"/>
        <s v="I MARIA"/>
        <s v="EFE"/>
        <s v="BRAVE COMMANDER (WFP)"/>
        <s v="RAMUS"/>
        <s v="BONITA"/>
        <s v="OSPREY S"/>
        <s v="THOE"/>
        <s v="SORMOVSKIY 121"/>
        <s v="STAR LAURA"/>
        <s v="RAHMI YAGCI"/>
        <s v="OCEAN LION"/>
        <s v="SACURA"/>
        <s v="ARIZONA"/>
        <s v="MUSTAFA NECATI"/>
        <s v="RIVA WIND"/>
        <s v="STAR HELENA"/>
        <s v="POLARNET"/>
        <s v="ROJEN"/>
        <s v="NAVI STAR"/>
        <s v="RAZONI"/>
        <m/>
      </sharedItems>
    </cacheField>
    <cacheField name="IMO" numFmtId="0">
      <sharedItems containsString="0" containsBlank="1" containsNumber="1" containsInteger="1">
        <n v="9125566.0"/>
        <n v="9072214.0"/>
        <n v="9339791.0"/>
        <n v="9147423.0"/>
        <n v="9311311.0"/>
        <n v="9233985.0"/>
        <n v="9457878.0"/>
        <n v="9278507.0"/>
        <n v="9617351.0"/>
        <n v="9283655.0"/>
        <n v="9261047.0"/>
        <n v="9514822.0"/>
        <n v="9284300.0"/>
        <n v="9860037.0"/>
        <n v="9217656.0"/>
        <n v="9236092.0"/>
        <n v="9617430.0"/>
        <n v="9107681.0"/>
        <n v="9442926.0"/>
        <n v="9303429.0"/>
        <n v="9316866.0"/>
        <n v="9126429.0"/>
        <n v="9592537.0"/>
        <n v="9284544.0"/>
        <n v="9393618.0"/>
        <n v="9546203.0"/>
        <n v="9248904.0"/>
        <n v="9799783.0"/>
        <n v="9233595.0"/>
        <n v="9362982.0"/>
        <n v="9430179.0"/>
        <n v="9139256.0"/>
        <n v="9542831.0"/>
        <n v="9145956.0"/>
        <n v="9450741.0"/>
        <n v="8204731.0"/>
        <n v="9473315.0"/>
        <n v="9473341.0"/>
        <n v="9479008.0"/>
        <n v="9002166.0"/>
        <n v="9196395.0"/>
        <n v="9500302.0"/>
        <n v="9588615.0"/>
        <n v="9453066.0"/>
        <n v="9634830.0"/>
        <n v="9481489.0"/>
        <n v="9519171.0"/>
        <n v="9252199.0"/>
        <n v="9493511.0"/>
        <n v="9320324.0"/>
        <n v="9118678.0"/>
        <n v="9453614.0"/>
        <n v="9271511.0"/>
        <n v="9153056.0"/>
        <n v="9571442.0"/>
        <n v="9228071.0"/>
        <n v="9450703.0"/>
        <n v="9299460.0"/>
        <n v="9328558.0"/>
        <n v="9303376.0"/>
        <n v="9041772.0"/>
        <n v="9312327.0"/>
        <n v="9303431.0"/>
        <n v="9198381.0"/>
        <n v="9185073.0"/>
        <n v="9460760.0"/>
        <n v="9488968.0"/>
        <n v="9254111.0"/>
        <n v="9597812.0"/>
        <n v="9197088.0"/>
        <n v="9309617.0"/>
        <n v="9595371.0"/>
        <n v="9544683.0"/>
        <n v="9546227.0"/>
        <n v="9472086.0"/>
        <n v="9598024.0"/>
        <n v="9136565.0"/>
        <n v="9527441.0"/>
        <n v="9341146.0"/>
        <n v="9550424.0"/>
        <n v="9401518.0"/>
        <n v="9159050.0"/>
        <n v="9087233.0"/>
        <n v="9391141.0"/>
        <n v="9138898.0"/>
        <n v="9641340.0"/>
        <n v="9217644.0"/>
        <n v="9182162.0"/>
        <n v="9463592.0"/>
        <n v="9286621.0"/>
        <n v="9244831.0"/>
        <n v="9576997.0"/>
        <n v="9489211.0"/>
        <n v="9146974.0"/>
        <n v="9250696.0"/>
        <n v="9262936.0"/>
        <n v="9583897.0"/>
        <n v="9409077.0"/>
        <n v="9217826.0"/>
        <n v="9194397.0"/>
        <n v="9305099.0"/>
        <n v="9398668.0"/>
        <n v="9142215.0"/>
        <n v="9370977.0"/>
        <n v="9527233.0"/>
        <n v="9464510.0"/>
        <n v="9303510.0"/>
        <n v="9494096.0"/>
        <n v="9117832.0"/>
        <n v="9311529.0"/>
        <n v="9146962.0"/>
        <n v="9443774.0"/>
        <n v="9317470.0"/>
        <n v="9288813.0"/>
        <n v="9567154.0"/>
        <n v="9304277.0"/>
        <n v="9616723.0"/>
        <n v="9216597.0"/>
        <n v="9604782.0"/>
        <n v="9227871.0"/>
        <n v="9329423.0"/>
        <n v="9184938.0"/>
        <n v="9596105.0"/>
        <n v="9529619.0"/>
        <n v="9244037.0"/>
        <n v="9465150.0"/>
        <n v="9238117.0"/>
        <n v="9233868.0"/>
        <n v="9112117.0"/>
        <n v="9290701.0"/>
        <n v="9159737.0"/>
        <n v="9275311.0"/>
        <n v="9114543.0"/>
        <n v="9580481.0"/>
        <n v="9452490.0"/>
        <n v="9577769.0"/>
        <n v="9667928.0"/>
        <n v="9233882.0"/>
        <n v="9340374.0"/>
        <n v="9266918.0"/>
        <n v="9136785.0"/>
        <n v="9287156.0"/>
        <n v="9139268.0"/>
        <n v="9237888.0"/>
        <n v="9358319.0"/>
        <n v="9175913.0"/>
        <n v="9244362.0"/>
        <n v="9364849.0"/>
        <n v="9389813.0"/>
        <n v="9499371.0"/>
        <n v="9318606.0"/>
        <n v="9441881.0"/>
        <n v="9427031.0"/>
        <n v="9719771.0"/>
        <n v="9554042.0"/>
        <n v="9542685.0"/>
        <n v="9342877.0"/>
        <n v="9136539.0"/>
        <n v="9263760.0"/>
        <n v="9197117.0"/>
        <n v="9145712.0"/>
        <n v="9180011.0"/>
        <n v="9283992.0"/>
        <n v="9084255.0"/>
        <n v="9135482.0"/>
        <n v="9276743.0"/>
        <n v="9255189.0"/>
        <n v="9565170.0"/>
        <n v="9400916.0"/>
        <n v="9132662.0"/>
        <n v="9316983.0"/>
        <n v="9258349.0"/>
        <n v="9288435.0"/>
        <n v="9250579.0"/>
        <n v="9310604.0"/>
        <n v="9583768.0"/>
        <n v="9303388.0"/>
        <n v="9583744.0"/>
        <n v="9583615.0"/>
        <n v="9332224.0"/>
        <n v="9171113.0"/>
        <n v="9116319.0"/>
        <n v="9383857.0"/>
        <n v="9296262.0"/>
        <n v="9648867.0"/>
        <n v="9314636.0"/>
        <n v="9296250.0"/>
        <n v="9300283.0"/>
        <n v="9286865.0"/>
        <n v="9618616.0"/>
        <n v="9584188.0"/>
        <n v="9402823.0"/>
        <n v="9593816.0"/>
        <n v="9664964.0"/>
        <n v="9593787.0"/>
        <n v="9673202.0"/>
        <n v="9354040.0"/>
        <n v="9512355.0"/>
        <n v="8914726.0"/>
        <n v="9288849.0"/>
        <n v="9467615.0"/>
        <n v="9305087.0"/>
        <n v="9575333.0"/>
        <n v="9467873.0"/>
        <n v="9364825.0"/>
        <n v="9295127.0"/>
        <n v="9238296.0"/>
        <n v="9033505.0"/>
        <n v="9235969.0"/>
        <n v="9231004.0"/>
        <n v="9569932.0"/>
        <n v="9287455.0"/>
        <n v="9395989.0"/>
        <n v="9302786.0"/>
        <n v="9287780.0"/>
        <n v="9316050.0"/>
        <n v="9611814.0"/>
        <n v="9763916.0"/>
        <n v="9221645.0"/>
        <n v="9174268.0"/>
        <n v="9848649.0"/>
        <n v="9454503.0"/>
        <n v="9200354.0"/>
        <n v="9284362.0"/>
        <n v="9284647.0"/>
        <n v="9296327.0"/>
        <n v="9589152.0"/>
        <n v="9584592.0"/>
        <n v="9860025.0"/>
        <n v="9363883.0"/>
        <n v="9171541.0"/>
        <n v="9340386.0"/>
        <n v="9225043.0"/>
        <n v="9629823.0"/>
        <n v="9223813.0"/>
        <n v="9105396.0"/>
        <n v="9141235.0"/>
        <n v="9835965.0"/>
        <n v="9316995.0"/>
        <n v="9290713.0"/>
        <n v="9118238.0"/>
        <n v="9355484.0"/>
        <n v="9363314.0"/>
        <n v="9573921.0"/>
        <n v="9073672.0"/>
        <n v="8324751.0"/>
        <n v="9832690.0"/>
        <n v="9181728.0"/>
        <n v="9926271.0"/>
        <n v="9475739.0"/>
        <n v="9391153.0"/>
        <n v="9566837.0"/>
        <n v="9473705.0"/>
        <n v="9364784.0"/>
        <n v="9340908.0"/>
        <n v="9529516.0"/>
        <n v="9164809.0"/>
        <n v="9593804.0"/>
        <n v="9086320.0"/>
        <n v="9918743.0"/>
        <n v="9593799.0"/>
        <n v="9574004.0"/>
        <n v="9295567.0"/>
        <n v="9200574.0"/>
        <n v="9257199.0"/>
        <n v="9149732.0"/>
        <n v="9257981.0"/>
        <n v="9077903.0"/>
        <n v="9344069.0"/>
        <n v="9724752.0"/>
        <n v="9546174.0"/>
        <n v="9675597.0"/>
        <n v="9185815.0"/>
        <n v="9422348.0"/>
        <n v="9086318.0"/>
        <n v="9603300.0"/>
        <n v="9324148.0"/>
        <n v="9790921.0"/>
        <n v="9567518.0"/>
        <n v="9691591.0"/>
        <n v="9276482.0"/>
        <n v="9724623.0"/>
        <n v="9316933.0"/>
        <n v="9613226.0"/>
        <n v="9164706.0"/>
        <n v="9622174.0"/>
        <n v="9128142.0"/>
        <n v="9588574.0"/>
        <n v="9442512.0"/>
        <n v="9595175.0"/>
        <n v="9336608.0"/>
        <n v="9304100.0"/>
        <n v="9128104.0"/>
        <n v="9142992.0"/>
        <n v="9601091.0"/>
        <n v="9483499.0"/>
        <n v="8107000.0"/>
        <n v="9894806.0"/>
        <n v="9132480.0"/>
        <n v="9591674.0"/>
        <n v="9215543.0"/>
        <n v="9942627.0"/>
        <n v="9524205.0"/>
        <n v="9381213.0"/>
        <n v="9221334.0"/>
        <n v="9010046.0"/>
        <n v="9124213.0"/>
        <n v="9521899.0"/>
        <n v="9515656.0"/>
        <n v="9426855.0"/>
        <n v="9672210.0"/>
        <n v="9405435.0"/>
        <n v="9601883.0"/>
        <n v="9335032.0"/>
        <n v="9410131.0"/>
        <n v="9748849.0"/>
        <n v="9151400.0"/>
        <n v="9578543.0"/>
        <n v="9330317.0"/>
        <n v="9159062.0"/>
        <n v="9458755.0"/>
        <n v="9216406.0"/>
        <n v="9261798.0"/>
        <n v="9114610.0"/>
        <n v="9473078.0"/>
        <n v="9393060.0"/>
        <n v="9041124.0"/>
        <n v="9214848.0"/>
        <n v="9039975.0"/>
        <n v="9266906.0"/>
        <n v="9191034.0"/>
        <n v="9554157.0"/>
        <n v="9413078.0"/>
        <n v="9583756.0"/>
        <n v="9311206.0"/>
        <n v="9111357.0"/>
        <n v="9571428.0"/>
        <n v="9278973.0"/>
        <n v="9470789.0"/>
        <n v="8902929.0"/>
        <n v="9231561.0"/>
        <n v="9114476.0"/>
        <n v="9322748.0"/>
        <n v="9354052.0"/>
        <n v="9728908.0"/>
        <n v="9549267.0"/>
        <n v="9591181.0"/>
        <n v="9228069.0"/>
        <n v="9715452.0"/>
        <n v="9187708.0"/>
        <n v="9826433.0"/>
        <n v="9479046.0"/>
        <n v="9221786.0"/>
        <n v="9593402.0"/>
        <n v="9146874.0"/>
        <n v="9595852.0"/>
        <n v="9607291.0"/>
        <n v="9596777.0"/>
        <n v="9214252.0"/>
        <n v="9070424.0"/>
        <n v="9037305.0"/>
        <n v="9400928.0"/>
        <n v="9838060.0"/>
        <n v="9234202.0"/>
        <n v="9653185.0"/>
        <n v="9895903.0"/>
        <n v="9189677.0"/>
        <n v="9848089.0"/>
        <n v="8401523.0"/>
        <n v="9661211.0"/>
        <n v="9288473.0"/>
        <n v="9343857.0"/>
        <n v="8025381.0"/>
        <n v="9591088.0"/>
        <n v="9326275.0"/>
        <n v="9204685.0"/>
        <n v="9153496.0"/>
        <n v="9246920.0"/>
        <n v="9649249.0"/>
        <n v="9585651.0"/>
        <n v="9047001.0"/>
        <n v="9663817.0"/>
        <n v="9148518.0"/>
        <n v="8606109.0"/>
        <n v="9693410.0"/>
        <n v="9458250.0"/>
        <n v="9084217.0"/>
        <n v="9222508.0"/>
        <n v="9799616.0"/>
        <n v="9282675.0"/>
        <n v="9615030.0"/>
        <n v="9300910.0"/>
        <n v="9827384.0"/>
        <n v="9437787.0"/>
        <n v="9208112.0"/>
        <n v="9461934.0"/>
        <n v="9243253.0"/>
        <n v="9017628.0"/>
        <n v="9267601.0"/>
        <n v="9268423.0"/>
        <n v="9589140.0"/>
        <n v="9706774.0"/>
        <n v="9498432.0"/>
        <n v="9453054.0"/>
        <n v="9445148.0"/>
        <n v="9502776.0"/>
        <n v="9334301.0"/>
        <n v="9280196.0"/>
        <n v="9213753.0"/>
        <n v="9370082.0"/>
        <n v="9483554.0"/>
        <n v="9286920.0"/>
        <n v="9251547.0"/>
        <n v="9575436.0"/>
        <n v="9487598.0"/>
        <n v="9451238.0"/>
        <n v="9132507.0"/>
        <n v="9221592.0"/>
        <n v="8907577.0"/>
        <n v="9724192.0"/>
        <n v="9223485.0"/>
        <n v="9545716.0"/>
        <n v="9828302.0"/>
        <n v="9119907.0"/>
        <n v="9489986.0"/>
        <n v="9493212.0"/>
        <n v="9436111.0"/>
        <n v="9330329.0"/>
        <n v="9588407.0"/>
        <n v="9574195.0"/>
        <n v="9171383.0"/>
        <n v="9540481.0"/>
        <n v="9228241.0"/>
        <n v="9537628.0"/>
        <n v="9335886.0"/>
        <n v="9045704.0"/>
        <n v="9278818.0"/>
        <n v="8623999.0"/>
        <n v="9164811.0"/>
        <n v="9418793.0"/>
        <n v="9757008.0"/>
        <n v="8004806.0"/>
        <n v="9474723.0"/>
        <n v="9180906.0"/>
        <n v="9553232.0"/>
        <n v="9490442.0"/>
        <n v="9737618.0"/>
        <n v="8919788.0"/>
        <n v="7126102.0"/>
        <n v="9456551.0"/>
        <n v="9243526.0"/>
        <n v="9132519.0"/>
        <n v="9325099.0"/>
        <n v="9175822.0"/>
        <n v="9228033.0"/>
        <n v="9723057.0"/>
        <n v="9055163.0"/>
        <n v="9237204.0"/>
        <n v="8511146.0"/>
        <n v="9782015.0"/>
        <n v="9163491.0"/>
        <n v="9540039.0"/>
        <n v="9425875.0"/>
        <n v="9401946.0"/>
        <n v="9316593.0"/>
        <n v="9233624.0"/>
        <n v="9504308.0"/>
        <n v="9395367.0"/>
        <n v="9698185.0"/>
        <n v="9133757.0"/>
        <n v="9410533.0"/>
        <n v="9145229.0"/>
        <n v="9152844.0"/>
        <n v="8884555.0"/>
        <n v="9242730.0"/>
        <n v="9431056.0"/>
        <n v="9380415.0"/>
        <n v="9247508.0"/>
        <n v="9304162.0"/>
        <n v="9519638.0"/>
        <n v="9245055.0"/>
        <n v="9512317.0"/>
        <n v="9282948.0"/>
        <n v="9316921.0"/>
        <n v="9595589.0"/>
        <n v="9106900.0"/>
        <n v="8909446.0"/>
        <n v="8218380.0"/>
        <n v="9493949.0"/>
        <n v="9727986.0"/>
        <n v="9317767.0"/>
        <n v="9799630.0"/>
        <n v="8914087.0"/>
        <n v="9727168.0"/>
        <n v="9278911.0"/>
        <n v="9117868.0"/>
        <n v="9584889.0"/>
        <n v="9573713.0"/>
        <n v="9363285.0"/>
        <n v="9116084.0"/>
        <n v="8409654.0"/>
        <n v="9082001.0"/>
        <n v="9575319.0"/>
        <n v="9633549.0"/>
        <n v="9111761.0"/>
        <n v="9737113.0"/>
        <n v="9264166.0"/>
        <n v="9449560.0"/>
        <n v="9609902.0"/>
        <n v="9474711.0"/>
        <n v="9575163.0"/>
        <n v="9191448.0"/>
        <n v="9188922.0"/>
        <n v="9736688.0"/>
        <n v="7528790.0"/>
        <n v="9848118.0"/>
        <n v="9464285.0"/>
        <n v="7208716.0"/>
        <n v="9416446.0"/>
        <n v="9489041.0"/>
        <n v="9343895.0"/>
        <n v="9508093.0"/>
        <n v="8000836.0"/>
        <n v="9418080.0"/>
        <n v="9297204.0"/>
        <n v="8520836.0"/>
        <n v="9542532.0"/>
        <n v="9497452.0"/>
        <n v="9454125.0"/>
        <n v="9016179.0"/>
        <n v="7827342.0"/>
        <n v="9737149.0"/>
        <n v="9575307.0"/>
        <n v="9244817.0"/>
        <n v="8408648.0"/>
        <n v="9304203.0"/>
        <n v="9444912.0"/>
        <n v="9663104.0"/>
        <n v="9111371.0"/>
        <n v="9536935.0"/>
        <n v="9511442.0"/>
        <n v="9151383.0"/>
        <n v="9430818.0"/>
        <n v="9394210.0"/>
        <n v="9194464.0"/>
        <n v="9590967.0"/>
        <n v="9338125.0"/>
        <n v="9000314.0"/>
        <n v="9109861.0"/>
        <n v="8517293.0"/>
        <n v="9103013.0"/>
        <n v="9258600.0"/>
        <n v="9261011.0"/>
        <n v="9427574.0"/>
        <n v="9668295.0"/>
        <n v="9545467.0"/>
        <n v="9175767.0"/>
        <n v="9010060.0"/>
        <n v="9045601.0"/>
        <n v="7726990.0"/>
        <n v="9190987.0"/>
        <n v="9204348.0"/>
        <n v="9003770.0"/>
        <n v="9001148.0"/>
        <n v="9104811.0"/>
        <n v="9580091.0"/>
        <n v="9217333.0"/>
        <n v="9437854.0"/>
        <n v="9369928.0"/>
        <n v="9717694.0"/>
        <n v="7915307.0"/>
        <n v="9563407.0"/>
        <n v="8920282.0"/>
        <n v="9559169.0"/>
        <n v="9008110.0"/>
        <n v="9490117.0"/>
        <n v="9349978.0"/>
        <n v="9567477.0"/>
        <n v="9381938.0"/>
        <n v="9279367.0"/>
        <n v="7929619.0"/>
        <n v="9148570.0"/>
        <n v="9136852.0"/>
        <n v="8926121.0"/>
        <n v="9462299.0"/>
        <n v="9286815.0"/>
        <n v="9655224.0"/>
        <n v="7510884.0"/>
        <n v="9223174.0"/>
        <n v="8332100.0"/>
        <n v="7352476.0"/>
        <n v="8408650.0"/>
        <n v="9376282.0"/>
        <n v="9492933.0"/>
        <n v="9545510.0"/>
        <n v="9450844.0"/>
        <n v="9468229.0"/>
        <n v="9110315.0"/>
        <n v="9498315.0"/>
        <n v="9100530.0"/>
        <n v="9674933.0"/>
        <n v="9358307.0"/>
        <n v="9368182.0"/>
        <n v="9211107.0"/>
        <n v="9381811.0"/>
        <n v="9488970.0"/>
        <n v="9353022.0"/>
        <n v="9259020.0"/>
        <n v="9545508.0"/>
        <n v="9703241.0"/>
        <n v="9217797.0"/>
        <n v="9639907.0"/>
        <n v="9344344.0"/>
        <n v="9536301.0"/>
        <n v="9071052.0"/>
        <n v="9680255.0"/>
        <n v="8421705.0"/>
        <n v="9387669.0"/>
        <n v="9371024.0"/>
        <n v="9575292.0"/>
        <n v="8609175.0"/>
        <n v="8027573.0"/>
        <n v="8202525.0"/>
        <n v="8003814.0"/>
        <n v="9663099.0"/>
        <n v="8418265.0"/>
        <n v="9496173.0"/>
        <n v="9118252.0"/>
        <n v="9179488.0"/>
        <n v="9235854.0"/>
        <n v="9412311.0"/>
        <n v="9808742.0"/>
        <n v="9033713.0"/>
        <n v="9283784.0"/>
        <n v="7382366.0"/>
        <n v="9481960.0"/>
        <n v="9005857.0"/>
        <n v="9325350.0"/>
        <n v="9450832.0"/>
        <n v="9737591.0"/>
        <n v="8311924.0"/>
        <n v="9001112.0"/>
        <n v="9805659.0"/>
        <n v="9031430.0"/>
        <n v="9387621.0"/>
        <n v="9281968.0"/>
        <n v="9635690.0"/>
        <n v="9109964.0"/>
        <n v="9518634.0"/>
        <n v="9543328.0"/>
        <n v="9455650.0"/>
        <n v="9460289.0"/>
        <n v="8806905.0"/>
        <n v="9154268.0"/>
        <n v="9611802.0"/>
        <n v="8611984.0"/>
        <n v="9464522.0"/>
        <n v="9456460.0"/>
        <n v="9163142.0"/>
        <n v="9206669.0"/>
        <n v="8311912.0"/>
        <n v="9519614.0"/>
        <n v="9278519.0"/>
        <n v="9615028.0"/>
        <n v="9275323.0"/>
        <n v="9008067.0"/>
        <n v="9491264.0"/>
        <n v="9449388.0"/>
        <n v="9407213.0"/>
        <n v="9005895.0"/>
        <n v="9327310.0"/>
        <n v="9407483.0"/>
        <n v="8919831.0"/>
        <n v="9000613.0"/>
        <n v="9000302.0"/>
        <n v="8915299.0"/>
        <n v="9711937.0"/>
        <n v="8227783.0"/>
        <n v="9699892.0"/>
        <n v="9486427.0"/>
        <n v="9401025.0"/>
        <n v="9274678.0"/>
        <n v="9224867.0"/>
        <n v="9581239.0"/>
        <n v="9550278.0"/>
        <n v="9213820.0"/>
        <n v="9606493.0"/>
        <n v="9228382.0"/>
        <n v="9434747.0"/>
        <n v="9317145.0"/>
        <n v="9379117.0"/>
        <n v="9276169.0"/>
        <n v="9381952.0"/>
        <n v="9317676.0"/>
        <n v="9608415.0"/>
        <n v="8914697.0"/>
        <n v="9558763.0"/>
        <n v="9136931.0"/>
        <n v="9318400.0"/>
        <n v="9231286.0"/>
        <n v="9300843.0"/>
        <n v="9400588.0"/>
        <n v="8133578.0"/>
        <n v="9328936.0"/>
        <n v="9550852.0"/>
        <n v="9296248.0"/>
        <n v="9497000.0"/>
        <n v="9592733.0"/>
        <n v="9736690.0"/>
        <n v="9301196.0"/>
        <n v="9361213.0"/>
        <n v="9758961.0"/>
        <n v="9754927.0"/>
        <n v="9590979.0"/>
        <n v="9086526.0"/>
        <m/>
      </sharedItems>
    </cacheField>
    <cacheField name="Departure port" numFmtId="0">
      <sharedItems containsBlank="1">
        <s v="Odesa"/>
        <s v="Chornomorsk"/>
        <s v="Yuzhny/Pivdennyi"/>
        <m/>
      </sharedItems>
    </cacheField>
    <cacheField name="Country" numFmtId="0">
      <sharedItems containsBlank="1">
        <s v="The Netherlands"/>
        <s v="Iraq"/>
        <s v="Tunisia"/>
        <s v="China"/>
        <s v="France"/>
        <s v="Türkiye"/>
        <s v="Ethiopia"/>
        <s v="India"/>
        <s v="Indonesia"/>
        <s v="Spain"/>
        <s v="Egypt"/>
        <s v="Italy"/>
        <s v="Kenya"/>
        <s v="Bangladesh"/>
        <s v="Israel"/>
        <s v="Saudi Arabia"/>
        <s v="Morocco"/>
        <s v="Sudan"/>
        <s v="Libya"/>
        <s v="Lebanon"/>
        <s v="Germany"/>
        <s v="Yemen"/>
        <s v="Portugal"/>
        <s v="Viet Nam"/>
        <s v="Algeria"/>
        <s v="United Kingdom"/>
        <s v="United Arab Emirates"/>
        <s v="Belgium"/>
        <s v="Japan"/>
        <s v="Romania"/>
        <s v="Bulgaria"/>
        <s v="Afghanistan"/>
        <s v="Ireland"/>
        <s v="Sri Lanka"/>
        <s v="Thailand"/>
        <s v="Greece"/>
        <s v="Somalia"/>
        <s v="Republic of Korea"/>
        <s v="Jordan"/>
        <s v="Oman"/>
        <s v="Pakistan"/>
        <s v="Djibouti"/>
        <s v="Georgia"/>
        <s v="Malaysia"/>
        <s v="Iran"/>
        <m/>
      </sharedItems>
    </cacheField>
    <cacheField name="Commodity" numFmtId="0">
      <sharedItems containsBlank="1">
        <s v="Rapeseed"/>
        <s v="Corn"/>
        <s v="Sunflower meal"/>
        <s v="Wheat"/>
        <s v="Sunflower oil"/>
        <s v="Soya beans"/>
        <s v="Barley"/>
        <s v="Peas"/>
        <s v="Sunflower seed"/>
        <s v="Vegetable oil"/>
        <s v="Soya oil"/>
        <s v="Canola"/>
        <s v="Rapeseed meal"/>
        <s v="Sunflower pellets"/>
        <s v="Mixed"/>
        <s v="Wheat bran pellets"/>
        <s v="Sugar beet pellets"/>
        <m/>
      </sharedItems>
    </cacheField>
    <cacheField name="Metric tons" numFmtId="3">
      <sharedItems containsString="0" containsBlank="1" containsNumber="1">
        <n v="15553.0"/>
        <n v="23031.0"/>
        <n v="37867.0"/>
        <n v="27000.0"/>
        <n v="62447.0"/>
        <n v="22387.0"/>
        <n v="39998.0"/>
        <n v="20008.0"/>
        <n v="43000.0"/>
        <n v="63319.0"/>
        <n v="63405.0"/>
        <n v="30000.0"/>
        <n v="55880.0"/>
        <n v="50450.0"/>
        <n v="67136.0"/>
        <n v="62720.0"/>
        <n v="45185.0"/>
        <n v="68600.0"/>
        <n v="63000.0"/>
        <n v="62300.0"/>
        <n v="64222.0"/>
        <n v="27295.0"/>
        <n v="67000.0"/>
        <n v="18137.0"/>
        <n v="29981.0"/>
        <n v="44630.0"/>
        <n v="29527.0"/>
        <n v="65468.0"/>
        <n v="69000.0"/>
        <n v="65500.0"/>
        <n v="51960.0"/>
        <n v="8617.0"/>
        <n v="43860.0"/>
        <n v="33394.0"/>
        <n v="32825.0"/>
        <n v="9233.0"/>
        <n v="33000.0"/>
        <n v="35100.0"/>
        <n v="61737.0"/>
        <n v="64757.0"/>
        <n v="53550.0"/>
        <n v="14100.0"/>
        <n v="10900.0"/>
        <n v="26347.0"/>
        <n v="65657.0"/>
        <n v="75790.0"/>
        <n v="64400.0"/>
        <n v="67440.0"/>
        <n v="61922.0"/>
        <n v="44000.0"/>
        <n v="19500.0"/>
        <n v="65838.0"/>
        <n v="17133.0"/>
        <n v="12000.0"/>
        <n v="64000.0"/>
        <n v="6800.0"/>
        <n v="61734.0"/>
        <n v="19800.0"/>
        <n v="32611.0"/>
        <n v="8704.0"/>
        <n v="26250.0"/>
        <n v="62000.0"/>
        <n v="30450.0"/>
        <n v="20721.0"/>
        <n v="10351.0"/>
        <n v="15999.0"/>
        <n v="19350.0"/>
        <n v="10650.0"/>
        <n v="41105.0"/>
        <n v="64229.0"/>
        <n v="10027.0"/>
        <n v="53157.0"/>
        <n v="50000.0"/>
        <n v="9500.0"/>
        <n v="47800.0"/>
        <n v="9200.0"/>
        <n v="23009.0"/>
        <n v="32300.0"/>
        <n v="12400.0"/>
        <n v="32700.0"/>
        <n v="54099.0"/>
        <n v="16927.0"/>
        <n v="63276.0"/>
        <n v="39722.0"/>
        <n v="27600.0"/>
        <n v="67950.0"/>
        <n v="25500.0"/>
        <n v="38600.0"/>
        <n v="19230.0"/>
        <n v="30322.0"/>
        <n v="49840.0"/>
        <n v="62640.0"/>
        <n v="43640.0"/>
        <n v="55000.0"/>
        <n v="9570.0"/>
        <n v="8500.0"/>
        <n v="47360.0"/>
        <n v="65080.0"/>
        <n v="50880.0"/>
        <n v="27500.0"/>
        <n v="13200.0"/>
        <n v="11450.0"/>
        <n v="5950.0"/>
        <n v="58134.0"/>
        <n v="17572.0"/>
        <n v="13972.0"/>
        <n v="52000.0"/>
        <n v="24006.0"/>
        <n v="37300.0"/>
        <n v="57000.0"/>
        <n v="70448.0"/>
        <n v="24000.0"/>
        <n v="69810.0"/>
        <n v="65400.0"/>
        <n v="29220.0"/>
        <n v="70546.0"/>
        <n v="25415.0"/>
        <n v="54500.0"/>
        <n v="40582.0"/>
        <n v="29400.0"/>
        <n v="65237.0"/>
        <n v="44500.0"/>
        <n v="10460.0"/>
        <n v="66196.0"/>
        <n v="25247.0"/>
        <n v="18700.0"/>
        <n v="15500.0"/>
        <n v="20100.0"/>
        <n v="12300.0"/>
        <n v="35824.0"/>
        <n v="27846.0"/>
        <n v="70230.0"/>
        <n v="69135.0"/>
        <n v="24500.0"/>
        <n v="26820.0"/>
        <n v="26946.0"/>
        <n v="40000.0"/>
        <n v="65897.0"/>
        <n v="41800.0"/>
        <n v="28000.0"/>
        <n v="27550.0"/>
        <n v="57065.0"/>
        <n v="33350.0"/>
        <n v="27100.0"/>
        <n v="45100.0"/>
        <n v="34535.0"/>
        <n v="10000.0"/>
        <n v="10400.0"/>
        <n v="31500.0"/>
        <n v="49236.0"/>
        <n v="61516.0"/>
        <n v="40500.0"/>
        <n v="42000.0"/>
        <n v="22000.0"/>
        <n v="27671.0"/>
        <n v="36471.0"/>
        <n v="26775.0"/>
        <n v="21241.0"/>
        <n v="25200.0"/>
        <n v="65315.0"/>
        <n v="54994.0"/>
        <n v="45661.0"/>
        <n v="17511.0"/>
        <n v="30600.0"/>
        <n v="54612.0"/>
        <n v="45044.0"/>
        <n v="20251.0"/>
        <n v="25900.0"/>
        <n v="6522.0"/>
        <n v="15746.0"/>
        <n v="66000.0"/>
        <n v="17200.0"/>
        <n v="22800.0"/>
        <n v="26200.0"/>
        <n v="32000.0"/>
        <n v="47000.0"/>
        <n v="18400.0"/>
        <n v="25000.0"/>
        <n v="66564.0"/>
        <n v="30050.0"/>
        <n v="62309.0"/>
        <n v="52438.0"/>
        <n v="65585.0"/>
        <n v="2700.0"/>
        <n v="38678.0"/>
        <n v="27977.0"/>
        <n v="52800.0"/>
        <n v="29025.0"/>
        <n v="35063.0"/>
        <n v="48000.0"/>
        <n v="67157.0"/>
        <n v="29870.0"/>
        <n v="10500.0"/>
        <n v="31150.0"/>
        <n v="15300.0"/>
        <n v="31300.0"/>
        <n v="63260.0"/>
        <n v="35548.0"/>
        <n v="32155.0"/>
        <n v="66970.0"/>
        <n v="29800.0"/>
        <n v="30400.0"/>
        <n v="15100.0"/>
        <n v="28200.0"/>
        <n v="70530.0"/>
        <n v="44072.0"/>
        <n v="28300.0"/>
        <n v="4400.0"/>
        <n v="26750.0"/>
        <n v="62209.0"/>
        <n v="6300.0"/>
        <n v="53300.0"/>
        <n v="49500.0"/>
        <n v="64885.0"/>
        <n v="64980.0"/>
        <n v="20500.0"/>
        <n v="45080.0"/>
        <n v="17485.0"/>
        <n v="49550.0"/>
        <n v="64867.0"/>
        <n v="15750.0"/>
        <n v="65394.0"/>
        <n v="65650.0"/>
        <n v="62088.0"/>
        <n v="48502.0"/>
        <n v="15000.0"/>
        <n v="11000.0"/>
        <n v="64877.0"/>
        <n v="23500.0"/>
        <n v="56000.0"/>
        <n v="51500.0"/>
        <n v="43226.0"/>
        <n v="14068.0"/>
        <n v="11939.0"/>
        <n v="20200.0"/>
        <n v="11209.0"/>
        <n v="11755.0"/>
        <n v="12500.0"/>
        <n v="69295.0"/>
        <n v="45000.0"/>
        <n v="20000.0"/>
        <n v="71090.0"/>
        <n v="13500.0"/>
        <n v="29750.0"/>
        <n v="12433.0"/>
        <n v="60623.0"/>
        <n v="5000.0"/>
        <n v="22500.0"/>
        <n v="71500.0"/>
        <n v="4000.0"/>
        <n v="65813.0"/>
        <n v="14800.0"/>
        <n v="65081.0"/>
        <n v="24200.0"/>
        <n v="3730.0"/>
        <n v="58630.0"/>
        <n v="32988.0"/>
        <n v="29226.0"/>
        <n v="19176.0"/>
        <n v="62747.0"/>
        <n v="31534.0"/>
        <n v="7250.0"/>
        <n v="54268.0"/>
        <n v="18538.0"/>
        <n v="31000.0"/>
        <n v="25026.0"/>
        <n v="57200.0"/>
        <n v="34125.0"/>
        <n v="66430.0"/>
        <n v="28240.0"/>
        <n v="21600.0"/>
        <n v="16877.0"/>
        <n v="11958.0"/>
        <n v="59226.0"/>
        <n v="70400.0"/>
        <n v="57228.0"/>
        <n v="28500.0"/>
        <n v="68370.0"/>
        <n v="61774.0"/>
        <n v="63448.0"/>
        <n v="48087.0"/>
        <n v="59224.0"/>
        <n v="51608.0"/>
        <n v="25800.0"/>
        <n v="68250.0"/>
        <n v="26500.0"/>
        <n v="48867.0"/>
        <n v="18215.0"/>
        <n v="51529.0"/>
        <n v="22341.0"/>
        <n v="24750.0"/>
        <n v="53551.0"/>
        <n v="64236.0"/>
        <n v="34316.0"/>
        <n v="65114.0"/>
        <n v="51405.0"/>
        <n v="16500.0"/>
        <n v="9700.0"/>
        <n v="41000.0"/>
        <n v="63500.0"/>
        <n v="70000.0"/>
        <n v="10210.0"/>
        <n v="56500.0"/>
        <n v="12700.0"/>
        <n v="67760.0"/>
        <n v="35000.0"/>
        <n v="69756.0"/>
        <n v="64175.0"/>
        <n v="8329.0"/>
        <n v="10734.0"/>
        <n v="68177.0"/>
        <n v="59770.0"/>
        <n v="7000.0"/>
        <n v="9100.0"/>
        <n v="27260.0"/>
        <n v="45150.0"/>
        <n v="7300.0"/>
        <n v="23050.0"/>
        <n v="29300.0"/>
        <n v="9400.0"/>
        <n v="27800.0"/>
        <n v="19100.0"/>
        <n v="74904.0"/>
        <n v="26653.0"/>
        <n v="47267.0"/>
        <n v="11420.0"/>
        <n v="69505.0"/>
        <n v="47700.0"/>
        <n v="56148.0"/>
        <n v="8077.0"/>
        <n v="21264.0"/>
        <n v="44836.0"/>
        <n v="12250.0"/>
        <n v="15869.0"/>
        <n v="6600.0"/>
        <n v="4300.0"/>
        <n v="37205.0"/>
        <n v="11500.0"/>
        <n v="61252.0"/>
        <n v="70799.0"/>
        <n v="13000.0"/>
        <n v="12200.0"/>
        <n v="18300.0"/>
        <n v="66500.0"/>
        <n v="21100.0"/>
        <n v="69145.0"/>
        <n v="64667.0"/>
        <n v="70514.0"/>
        <n v="44670.0"/>
        <n v="18000.0"/>
        <n v="6000.0"/>
        <n v="46700.0"/>
        <n v="10600.0"/>
        <n v="68390.0"/>
        <n v="31600.0"/>
        <n v="69170.0"/>
        <n v="52700.0"/>
        <n v="62430.0"/>
        <n v="5915.0"/>
        <n v="3300.0"/>
        <n v="2970.0"/>
        <n v="15872.0"/>
        <n v="16580.0"/>
        <n v="33500.0"/>
        <n v="53500.0"/>
        <n v="9900.0"/>
        <n v="5500.0"/>
        <n v="17004.0"/>
        <n v="7030.0"/>
        <n v="6700.0"/>
        <n v="71970.0"/>
        <n v="7150.0"/>
        <n v="63367.0"/>
        <n v="30800.0"/>
        <n v="59010.0"/>
        <n v="10997.0"/>
        <n v="1503.0"/>
        <n v="72600.0"/>
        <n v="65970.0"/>
        <n v="8100.0"/>
        <n v="38700.0"/>
        <n v="17700.0"/>
        <n v="9800.0"/>
        <n v="62979.0"/>
        <n v="65520.0"/>
        <n v="44848.0"/>
        <n v="25400.0"/>
        <n v="1966.0"/>
        <n v="2959.0"/>
        <n v="60066.0"/>
        <n v="9188.0"/>
        <n v="21000.0"/>
        <n v="30500.0"/>
        <n v="5214.0"/>
        <n v="11100.0"/>
        <n v="11900.0"/>
        <n v="25700.0"/>
        <n v="29000.0"/>
        <n v="19000.0"/>
        <n v="32400.0"/>
        <n v="71400.0"/>
        <n v="9050.0"/>
        <n v="6250.0"/>
        <n v="18100.0"/>
        <n v="5250.0"/>
        <n v="65234.0"/>
        <n v="30015.0"/>
        <n v="60965.0"/>
        <n v="5750.0"/>
        <n v="44350.0"/>
        <n v="3900.0"/>
        <n v="67100.0"/>
        <n v="58250.0"/>
        <n v="37500.0"/>
        <n v="31050.0"/>
        <n v="21955.0"/>
        <n v="13026.0"/>
        <n v="8954.0"/>
        <n v="56449.0"/>
        <n v="8543.0"/>
        <n v="21500.0"/>
        <n v="70920.0"/>
        <n v="17000.0"/>
        <n v="53820.0"/>
        <n v="35719.0"/>
        <n v="31608.0"/>
        <n v="66645.0"/>
        <n v="8400.0"/>
        <n v="26350.0"/>
        <n v="26300.0"/>
        <n v="30389.0"/>
        <n v="8383.0"/>
        <n v="26900.0"/>
        <n v="11650.0"/>
        <n v="4700.0"/>
        <n v="71000.0"/>
        <n v="26765.0"/>
        <n v="6400.0"/>
        <n v="54000.0"/>
        <n v="1500.0"/>
        <n v="40771.0"/>
        <n v="5788.0"/>
        <n v="44699.0"/>
        <n v="12441.0"/>
        <n v="5602.0"/>
        <n v="15291.0"/>
        <n v="10709.0"/>
        <n v="65000.0"/>
        <n v="44900.0"/>
        <n v="62843.0"/>
        <n v="6905.0"/>
        <n v="6100.0"/>
        <n v="5230.0"/>
        <n v="4840.0"/>
        <n v="7124.0"/>
        <n v="66756.0"/>
        <n v="41540.0"/>
        <n v="44194.0"/>
        <n v="14000.0"/>
        <n v="55318.0"/>
        <n v="34200.0"/>
        <n v="37000.0"/>
        <n v="8600.0"/>
        <n v="54250.0"/>
        <n v="4671.0"/>
        <n v="62900.0"/>
        <n v="14750.0"/>
        <n v="6850.0"/>
        <n v="7900.0"/>
        <n v="6010.0"/>
        <n v="9000.0"/>
        <n v="43250.0"/>
        <n v="64300.0"/>
        <n v="62258.0"/>
        <n v="31908.0"/>
        <n v="26786.0"/>
        <n v="66750.0"/>
        <n v="12690.0"/>
        <n v="49000.0"/>
        <n v="31635.0"/>
        <n v="36850.0"/>
        <n v="27453.0"/>
        <n v="2500.0"/>
        <n v="2050.0"/>
        <n v="46141.0"/>
        <n v="71135.0"/>
        <n v="29600.0"/>
        <n v="3200.0"/>
        <n v="47270.0"/>
        <n v="54160.0"/>
        <n v="39000.0"/>
        <n v="30698.0"/>
        <n v="2300.0"/>
        <n v="16090.0"/>
        <n v="14910.0"/>
        <n v="4060.0"/>
        <n v="6630.0"/>
        <n v="10903.0"/>
        <n v="2900.0"/>
        <n v="63650.0"/>
        <n v="68000.0"/>
        <n v="14270.0"/>
        <n v="34430.0"/>
        <n v="30672.0"/>
        <n v="56789.0"/>
        <n v="12600.0"/>
        <n v="17800.0"/>
        <n v="8000.0"/>
        <n v="6200.0"/>
        <n v="55457.0"/>
        <n v="5460.0"/>
        <n v="33100.0"/>
        <n v="59055.0"/>
        <n v="26000.0"/>
        <n v="32800.0"/>
        <n v="60000.0"/>
        <n v="52733.0"/>
        <n v="23267.0"/>
        <n v="3000.0"/>
        <n v="10700.0"/>
        <n v="2200.0"/>
        <n v="61815.0"/>
        <n v="47185.0"/>
        <n v="17815.0"/>
        <n v="15469.0"/>
        <n v="53376.0"/>
        <n v="7400.0"/>
        <n v="5801.0"/>
        <n v="15800.0"/>
        <n v="43500.0"/>
        <n v="5828.0"/>
        <n v="62860.0"/>
        <n v="30817.0"/>
        <n v="13400.0"/>
        <n v="7560.0"/>
        <n v="27499.0"/>
        <n v="5700.0"/>
        <n v="26380.0"/>
        <n v="51742.0"/>
        <n v="27390.0"/>
        <n v="3150.0"/>
        <n v="7600.0"/>
        <n v="7200.0"/>
        <n v="5550.0"/>
        <n v="3400.0"/>
        <n v="4050.0"/>
        <n v="33400.0"/>
        <n v="6240.0"/>
        <n v="6050.0"/>
        <n v="5019.0"/>
        <n v="71155.0"/>
        <n v="32600.0"/>
        <n v="5050.0"/>
        <n v="5666.0"/>
        <n v="9511.0"/>
        <n v="32859.0"/>
        <n v="7800.0"/>
        <n v="49100.0"/>
        <n v="27200.0"/>
        <n v="4950.0"/>
        <n v="6500.0"/>
        <n v="3700.0"/>
        <n v="7700.0"/>
        <n v="33860.0"/>
        <n v="41650.0"/>
        <n v="2750.0"/>
        <n v="38000.0"/>
        <n v="31290.0"/>
        <n v="3100.0"/>
        <n v="18716.0"/>
        <n v="7757.0"/>
        <n v="6834.0"/>
        <n v="33274.0"/>
        <n v="22923.0"/>
        <n v="50800.0"/>
        <n v="27700.0"/>
        <n v="51175.0"/>
        <n v="5350.0"/>
        <n v="24718.0"/>
        <n v="27250.0"/>
        <n v="17325.0"/>
        <n v="30350.0"/>
        <n v="16000.0"/>
        <n v="8800.0"/>
        <n v="42600.0"/>
        <n v="28193.0"/>
        <n v="46130.0"/>
        <n v="39763.0"/>
        <n v="5029.0"/>
        <n v="2000.0"/>
        <n v="5960.0"/>
        <n v="63029.0"/>
        <n v="10950.0"/>
        <n v="8200.0"/>
        <n v="5150.0"/>
        <n v="57311.0"/>
        <n v="4450.0"/>
        <n v="11950.0"/>
        <n v="3860.0"/>
        <n v="31039.0"/>
        <n v="10252.0"/>
        <n v="3500.0"/>
        <n v="50220.0"/>
        <n v="4500.0"/>
        <n v="2950.0"/>
        <n v="10100.0"/>
        <n v="90.0"/>
        <n v="32493.0"/>
        <n v="46500.0"/>
        <n v="9751.0"/>
        <n v="48750.0"/>
        <n v="18150.0"/>
        <n v="16300.0"/>
        <n v="17350.0"/>
        <n v="8350.0"/>
        <n v="69080.0"/>
        <n v="30700.0"/>
        <n v="6900.0"/>
        <n v="525.0"/>
        <n v="2413.0"/>
        <n v="29256.0"/>
        <n v="4030.0"/>
        <n v="32900.0"/>
        <n v="8750.0"/>
        <n v="29350.0"/>
        <n v="5105.0"/>
        <n v="29459.0"/>
        <n v="541.0"/>
        <n v="53012.0"/>
        <n v="9694.0"/>
        <n v="30900.0"/>
        <n v="2026.0"/>
        <n v="4258.0"/>
        <n v="47200.0"/>
        <n v="2981.0"/>
        <n v="50855.0"/>
        <n v="3600.0"/>
        <n v="180.0"/>
        <n v="67.86"/>
        <n v="56800.0"/>
        <n v="5300.0"/>
        <n v="5400.0"/>
        <n v="492.0"/>
        <n v="64951.0"/>
        <n v="3025.84"/>
        <n v="2972.91"/>
        <n v="6857.0"/>
        <n v="2800.0"/>
        <n v="40220.0"/>
        <n v="5600.0"/>
        <n v="32794.0"/>
        <n v="13853.0"/>
        <n v="10853.0"/>
        <n v="4410.0"/>
        <n v="9300.0"/>
        <n v="9531.0"/>
        <n v="2472.0"/>
        <n v="5200.0"/>
        <n v="51400.0"/>
        <n v="8640.04"/>
        <n v="34071.36"/>
        <n v="20095.0"/>
        <n v="4862.0"/>
        <n v="5800.0"/>
        <n v="4510.0"/>
        <n v="11091.0"/>
        <n v="7179.0"/>
        <n v="62340.0"/>
        <n v="31400.0"/>
        <n v="6450.0"/>
        <n v="2070.0"/>
        <n v="31098.0"/>
        <n v="6117.0"/>
        <n v="9835.0"/>
        <n v="30300.0"/>
        <n v="8560.0"/>
        <n v="35470.0"/>
        <n v="25850.0"/>
        <n v="74500.0"/>
        <n v="30274.0"/>
        <n v="3236.0"/>
        <n v="64215.0"/>
        <n v="3800.0"/>
        <n v="24485.0"/>
        <n v="39494.0"/>
        <n v="5900.0"/>
        <n v="65340.0"/>
        <n v="58510.0"/>
        <n v="2436.99"/>
        <n v="27982.0"/>
        <n v="9111.0"/>
        <n v="18500.0"/>
        <n v="23300.0"/>
        <n v="6161.0"/>
        <n v="2914.0"/>
        <n v="3050.0"/>
        <n v="60150.0"/>
        <n v="64720.0"/>
        <n v="48459.0"/>
        <n v="66084.0"/>
        <n v="13041.0"/>
        <n v="1527.0"/>
        <m/>
      </sharedItems>
    </cacheField>
    <cacheField name="Departure date" numFmtId="164">
      <sharedItems containsDate="1" containsString="0" containsBlank="1">
        <d v="2023-07-16T00:00:00Z"/>
        <d v="2023-07-13T00:00:00Z"/>
        <d v="2023-07-08T00:00:00Z"/>
        <d v="2023-07-04T00:00:00Z"/>
        <d v="2023-07-03T00:00:00Z"/>
        <d v="2023-07-02T00:00:00Z"/>
        <d v="2023-06-30T00:00:00Z"/>
        <d v="2023-06-28T00:00:00Z"/>
        <d v="2023-06-26T00:00:00Z"/>
        <d v="2023-06-25T00:00:00Z"/>
        <d v="2023-06-23T00:00:00Z"/>
        <d v="2023-06-22T00:00:00Z"/>
        <d v="2023-06-19T00:00:00Z"/>
        <d v="2023-06-18T00:00:00Z"/>
        <d v="2023-06-16T00:00:00Z"/>
        <d v="2023-06-15T00:00:00Z"/>
        <d v="2023-06-14T00:00:00Z"/>
        <d v="2023-06-10T00:00:00Z"/>
        <d v="2023-06-09T00:00:00Z"/>
        <d v="2023-06-08T00:00:00Z"/>
        <d v="2023-06-07T00:00:00Z"/>
        <d v="2023-06-06T00:00:00Z"/>
        <d v="2023-06-05T00:00:00Z"/>
        <d v="2023-06-04T00:00:00Z"/>
        <d v="2023-06-03T00:00:00Z"/>
        <d v="2023-06-02T00:00:00Z"/>
        <d v="2023-06-01T00:00:00Z"/>
        <d v="2023-05-31T00:00:00Z"/>
        <d v="2023-05-28T00:00:00Z"/>
        <d v="2023-05-19T00:00:00Z"/>
        <d v="2023-05-17T00:00:00Z"/>
        <d v="2023-05-16T00:00:00Z"/>
        <d v="2023-05-15T00:00:00Z"/>
        <d v="2023-05-14T00:00:00Z"/>
        <d v="2023-05-12T00:00:00Z"/>
        <d v="2023-05-11T00:00:00Z"/>
        <d v="2023-05-10T00:00:00Z"/>
        <d v="2023-05-09T00:00:00Z"/>
        <d v="2023-05-08T00:00:00Z"/>
        <d v="2023-05-06T00:00:00Z"/>
        <d v="2023-05-05T00:00:00Z"/>
        <d v="2023-05-04T00:00:00Z"/>
        <d v="2023-05-03T00:00:00Z"/>
        <d v="2023-05-01T00:00:00Z"/>
        <d v="2023-04-29T00:00:00Z"/>
        <d v="2023-04-28T00:00:00Z"/>
        <d v="2023-04-27T00:00:00Z"/>
        <d v="2023-04-25T00:00:00Z"/>
        <d v="2023-04-23T00:00:00Z"/>
        <d v="2023-04-22T00:00:00Z"/>
        <d v="2023-04-21T00:00:00Z"/>
        <d v="2023-04-19T00:00:00Z"/>
        <d v="2023-04-18T00:00:00Z"/>
        <d v="2023-04-17T00:00:00Z"/>
        <d v="2023-04-16T00:00:00Z"/>
        <d v="2023-04-15T00:00:00Z"/>
        <d v="2023-04-13T00:00:00Z"/>
        <d v="2023-04-12T00:00:00Z"/>
        <d v="2023-04-11T00:00:00Z"/>
        <d v="2023-04-10T00:00:00Z"/>
        <d v="2023-04-09T00:00:00Z"/>
        <d v="2023-04-08T00:00:00Z"/>
        <d v="2023-04-07T00:00:00Z"/>
        <d v="2023-04-06T00:00:00Z"/>
        <d v="2023-04-04T00:00:00Z"/>
        <d v="2023-04-03T00:00:00Z"/>
        <d v="2023-04-02T00:00:00Z"/>
        <d v="2023-04-01T00:00:00Z"/>
        <d v="2023-03-31T00:00:00Z"/>
        <d v="2023-03-30T00:00:00Z"/>
        <d v="2023-03-29T00:00:00Z"/>
        <d v="2023-03-27T00:00:00Z"/>
        <d v="2023-03-26T00:00:00Z"/>
        <d v="2023-03-25T00:00:00Z"/>
        <d v="2023-03-24T00:00:00Z"/>
        <d v="2023-03-23T00:00:00Z"/>
        <d v="2023-03-22T00:00:00Z"/>
        <d v="2023-03-21T00:00:00Z"/>
        <d v="2023-03-20T00:00:00Z"/>
        <d v="2023-03-19T00:00:00Z"/>
        <d v="2023-03-18T00:00:00Z"/>
        <d v="2023-03-17T00:00:00Z"/>
        <d v="2023-03-16T00:00:00Z"/>
        <d v="2023-03-15T00:00:00Z"/>
        <d v="2023-03-14T00:00:00Z"/>
        <d v="2023-03-13T00:00:00Z"/>
        <d v="2023-03-11T00:00:00Z"/>
        <d v="2023-03-10T00:00:00Z"/>
        <d v="2023-03-09T00:00:00Z"/>
        <d v="2023-03-08T00:00:00Z"/>
        <d v="2023-03-07T00:00:00Z"/>
        <d v="2023-03-06T00:00:00Z"/>
        <d v="2023-03-05T00:00:00Z"/>
        <d v="2023-03-04T00:00:00Z"/>
        <d v="2023-03-03T00:00:00Z"/>
        <d v="2023-03-02T00:00:00Z"/>
        <d v="2023-03-01T00:00:00Z"/>
        <d v="2023-02-28T00:00:00Z"/>
        <d v="2023-02-27T00:00:00Z"/>
        <d v="2023-02-26T00:00:00Z"/>
        <d v="2023-02-25T00:00:00Z"/>
        <d v="2023-02-24T00:00:00Z"/>
        <d v="2023-02-23T00:00:00Z"/>
        <d v="2023-02-22T00:00:00Z"/>
        <d v="2023-02-21T00:00:00Z"/>
        <d v="2023-02-20T00:00:00Z"/>
        <d v="2023-02-19T00:00:00Z"/>
        <d v="2023-02-18T00:00:00Z"/>
        <d v="2023-02-17T00:00:00Z"/>
        <d v="2023-02-16T00:00:00Z"/>
        <d v="2023-02-15T00:00:00Z"/>
        <d v="2023-02-14T00:00:00Z"/>
        <d v="2023-02-13T00:00:00Z"/>
        <d v="2023-02-12T00:00:00Z"/>
        <d v="2023-02-11T00:00:00Z"/>
        <d v="2023-02-10T00:00:00Z"/>
        <d v="2023-02-09T00:00:00Z"/>
        <d v="2023-02-08T00:00:00Z"/>
        <d v="2023-02-06T00:00:00Z"/>
        <d v="2023-02-05T00:00:00Z"/>
        <d v="2023-02-04T00:00:00Z"/>
        <d v="2023-02-03T00:00:00Z"/>
        <d v="2023-02-02T00:00:00Z"/>
        <d v="2023-02-01T00:00:00Z"/>
        <d v="2023-01-31T00:00:00Z"/>
        <d v="2023-01-28T00:00:00Z"/>
        <d v="2023-01-27T00:00:00Z"/>
        <d v="2023-01-26T00:00:00Z"/>
        <d v="2023-01-24T00:00:00Z"/>
        <d v="2023-01-23T00:00:00Z"/>
        <d v="2023-01-22T00:00:00Z"/>
        <d v="2023-01-21T00:00:00Z"/>
        <d v="2023-01-20T00:00:00Z"/>
        <d v="2023-01-19T00:00:00Z"/>
        <d v="2023-01-18T00:00:00Z"/>
        <d v="2023-01-17T00:00:00Z"/>
        <d v="2023-01-16T00:00:00Z"/>
        <d v="2023-01-15T00:00:00Z"/>
        <d v="2023-01-14T00:00:00Z"/>
        <d v="2023-01-13T00:00:00Z"/>
        <d v="2023-01-12T00:00:00Z"/>
        <d v="2023-01-08T00:00:00Z"/>
        <d v="2023-01-07T00:00:00Z"/>
        <d v="2023-01-06T00:00:00Z"/>
        <d v="2023-01-05T00:00:00Z"/>
        <d v="2023-01-04T00:00:00Z"/>
        <d v="2023-01-03T00:00:00Z"/>
        <d v="2023-01-02T00:00:00Z"/>
        <d v="2023-01-01T00:00:00Z"/>
        <d v="2022-12-31T00:00:00Z"/>
        <d v="2022-12-30T00:00:00Z"/>
        <d v="2022-12-29T00:00:00Z"/>
        <d v="2022-12-28T00:00:00Z"/>
        <d v="2022-12-27T00:00:00Z"/>
        <d v="2022-12-26T00:00:00Z"/>
        <d v="2022-12-25T00:00:00Z"/>
        <d v="2022-12-24T00:00:00Z"/>
        <d v="2022-12-23T00:00:00Z"/>
        <d v="2022-12-22T00:00:00Z"/>
        <d v="2022-12-21T00:00:00Z"/>
        <d v="2022-12-20T00:00:00Z"/>
        <d v="2022-12-19T00:00:00Z"/>
        <d v="2022-12-18T00:00:00Z"/>
        <d v="2022-12-17T00:00:00Z"/>
        <d v="2022-12-16T00:00:00Z"/>
        <d v="2022-12-15T00:00:00Z"/>
        <d v="2022-12-14T00:00:00Z"/>
        <d v="2022-12-13T00:00:00Z"/>
        <d v="2022-12-11T00:00:00Z"/>
        <d v="2022-12-10T00:00:00Z"/>
        <d v="2022-12-09T00:00:00Z"/>
        <d v="2022-12-08T00:00:00Z"/>
        <d v="2022-12-07T00:00:00Z"/>
        <d v="2022-12-06T00:00:00Z"/>
        <d v="2022-12-05T00:00:00Z"/>
        <d v="2022-12-04T00:00:00Z"/>
        <d v="2022-12-03T00:00:00Z"/>
        <d v="2022-12-02T00:00:00Z"/>
        <d v="2022-12-01T00:00:00Z"/>
        <d v="2022-11-30T00:00:00Z"/>
        <d v="2022-11-29T00:00:00Z"/>
        <d v="2022-11-27T00:00:00Z"/>
        <d v="2022-11-26T00:00:00Z"/>
        <d v="2022-11-25T00:00:00Z"/>
        <d v="2022-11-24T00:00:00Z"/>
        <d v="2022-11-23T00:00:00Z"/>
        <d v="2022-11-22T00:00:00Z"/>
        <d v="2022-11-21T00:00:00Z"/>
        <d v="2022-11-20T00:00:00Z"/>
        <d v="2022-11-19T00:00:00Z"/>
        <d v="2022-11-18T00:00:00Z"/>
        <d v="2022-11-17T00:00:00Z"/>
        <d v="2022-11-16T00:00:00Z"/>
        <d v="2022-11-15T00:00:00Z"/>
        <d v="2022-11-14T00:00:00Z"/>
        <d v="2022-11-13T00:00:00Z"/>
        <d v="2022-11-12T00:00:00Z"/>
        <d v="2022-11-11T00:00:00Z"/>
        <d v="2022-11-10T00:00:00Z"/>
        <d v="2022-11-09T00:00:00Z"/>
        <d v="2022-11-08T00:00:00Z"/>
        <d v="2022-11-04T00:00:00Z"/>
        <d v="2022-11-03T00:00:00Z"/>
        <d v="2022-11-02T00:00:00Z"/>
        <d v="2022-11-01T00:00:00Z"/>
        <d v="2022-10-31T00:00:00Z"/>
        <d v="2022-10-30T00:00:00Z"/>
        <d v="2022-10-29T00:00:00Z"/>
        <d v="2022-10-28T00:00:00Z"/>
        <d v="2022-10-27T00:00:00Z"/>
        <d v="2022-10-25T00:00:00Z"/>
        <d v="2022-10-24T00:00:00Z"/>
        <d v="2022-10-23T00:00:00Z"/>
        <d v="2022-10-22T00:00:00Z"/>
        <d v="2022-10-21T00:00:00Z"/>
        <d v="2022-10-20T00:00:00Z"/>
        <d v="2022-10-19T00:00:00Z"/>
        <d v="2022-10-18T00:00:00Z"/>
        <d v="2022-10-17T00:00:00Z"/>
        <d v="2022-10-16T00:00:00Z"/>
        <d v="2022-10-15T00:00:00Z"/>
        <d v="2022-10-14T00:00:00Z"/>
        <d v="2022-10-13T00:00:00Z"/>
        <d v="2022-10-12T00:00:00Z"/>
        <d v="2022-10-11T00:00:00Z"/>
        <d v="2022-10-10T00:00:00Z"/>
        <d v="2022-10-09T00:00:00Z"/>
        <d v="2022-10-08T00:00:00Z"/>
        <d v="2022-10-07T00:00:00Z"/>
        <d v="2022-10-06T00:00:00Z"/>
        <d v="2022-10-05T00:00:00Z"/>
        <d v="2022-10-04T00:00:00Z"/>
        <d v="2022-10-03T00:00:00Z"/>
        <d v="2022-10-02T00:00:00Z"/>
        <d v="2022-10-01T00:00:00Z"/>
        <d v="2022-09-30T00:00:00Z"/>
        <d v="2022-09-29T00:00:00Z"/>
        <d v="2022-09-28T00:00:00Z"/>
        <d v="2022-09-27T00:00:00Z"/>
        <d v="2022-09-26T00:00:00Z"/>
        <d v="2022-09-25T00:00:00Z"/>
        <d v="2022-09-24T00:00:00Z"/>
        <d v="2022-09-23T00:00:00Z"/>
        <d v="2022-09-22T00:00:00Z"/>
        <d v="2022-09-21T00:00:00Z"/>
        <d v="2022-09-20T00:00:00Z"/>
        <d v="2022-09-19T00:00:00Z"/>
        <d v="2022-09-18T00:00:00Z"/>
        <d v="2022-09-17T00:00:00Z"/>
        <d v="2022-09-16T00:00:00Z"/>
        <d v="2022-09-15T00:00:00Z"/>
        <d v="2022-09-14T00:00:00Z"/>
        <d v="2022-09-13T00:00:00Z"/>
        <d v="2022-09-12T00:00:00Z"/>
        <d v="2022-09-11T00:00:00Z"/>
        <d v="2022-09-10T00:00:00Z"/>
        <d v="2022-09-09T00:00:00Z"/>
        <d v="2022-09-08T00:00:00Z"/>
        <d v="2022-09-07T00:00:00Z"/>
        <d v="2022-09-06T00:00:00Z"/>
        <d v="2022-09-05T00:00:00Z"/>
        <d v="2022-09-04T00:00:00Z"/>
        <d v="2022-09-03T00:00:00Z"/>
        <d v="2022-09-02T00:00:00Z"/>
        <d v="2022-09-01T00:00:00Z"/>
        <d v="2022-08-31T00:00:00Z"/>
        <d v="2022-08-30T00:00:00Z"/>
        <d v="2022-08-29T00:00:00Z"/>
        <d v="2022-08-28T00:00:00Z"/>
        <d v="2022-08-27T00:00:00Z"/>
        <d v="2022-08-26T00:00:00Z"/>
        <d v="2022-08-25T00:00:00Z"/>
        <d v="2022-08-24T00:00:00Z"/>
        <d v="2022-08-23T00:00:00Z"/>
        <d v="2022-08-22T00:00:00Z"/>
        <d v="2022-08-21T00:00:00Z"/>
        <d v="2022-08-20T00:00:00Z"/>
        <d v="2022-08-18T00:00:00Z"/>
        <d v="2022-08-17T00:00:00Z"/>
        <d v="2022-08-16T00:00:00Z"/>
        <d v="2022-08-13T00:00:00Z"/>
        <d v="2022-08-12T00:00:00Z"/>
        <d v="2022-08-09T00:00:00Z"/>
        <d v="2022-08-08T00:00:00Z"/>
        <d v="2022-08-07T00:00:00Z"/>
        <d v="2022-08-05T00:00:00Z"/>
        <d v="2022-08-01T00:00:00Z"/>
        <m/>
      </sharedItems>
    </cacheField>
    <cacheField name="Inspection cleared" numFmtId="164">
      <sharedItems containsDate="1" containsString="0" containsBlank="1">
        <d v="2023-07-17T00:00:00Z"/>
        <d v="2023-07-15T00:00:00Z"/>
        <d v="2023-07-10T00:00:00Z"/>
        <d v="2023-07-07T00:00:00Z"/>
        <d v="2023-07-08T00:00:00Z"/>
        <d v="2023-07-09T00:00:00Z"/>
        <d v="2023-07-06T00:00:00Z"/>
        <d v="2023-07-05T00:00:00Z"/>
        <d v="2023-07-04T00:00:00Z"/>
        <d v="2023-07-02T00:00:00Z"/>
        <d v="2023-06-30T00:00:00Z"/>
        <d v="2023-06-29T00:00:00Z"/>
        <d v="2023-06-27T00:00:00Z"/>
        <d v="2023-06-22T00:00:00Z"/>
        <d v="2023-06-25T00:00:00Z"/>
        <d v="2023-06-24T00:00:00Z"/>
        <d v="2023-06-20T00:00:00Z"/>
        <d v="2023-06-23T00:00:00Z"/>
        <d v="2023-06-18T00:00:00Z"/>
        <d v="2023-06-17T00:00:00Z"/>
        <d v="2023-06-19T00:00:00Z"/>
        <d v="2023-06-11T00:00:00Z"/>
        <d v="2023-06-16T00:00:00Z"/>
        <d v="2023-06-13T00:00:00Z"/>
        <d v="2023-06-15T00:00:00Z"/>
        <d v="2023-06-14T00:00:00Z"/>
        <d v="2023-06-12T00:00:00Z"/>
        <d v="2023-06-10T00:00:00Z"/>
        <d v="2023-06-09T00:00:00Z"/>
        <d v="2023-06-08T00:00:00Z"/>
        <d v="2023-06-07T00:00:00Z"/>
        <d v="2023-05-31T00:00:00Z"/>
        <d v="2023-06-05T00:00:00Z"/>
        <d v="2023-06-06T00:00:00Z"/>
        <d v="2023-05-23T00:00:00Z"/>
        <d v="2023-05-21T00:00:00Z"/>
        <d v="2023-05-18T00:00:00Z"/>
        <d v="2023-05-17T00:00:00Z"/>
        <d v="2023-05-22T00:00:00Z"/>
        <d v="2023-05-16T00:00:00Z"/>
        <d v="2023-05-15T00:00:00Z"/>
        <d v="2023-05-14T00:00:00Z"/>
        <d v="2023-05-13T00:00:00Z"/>
        <d v="2023-05-12T00:00:00Z"/>
        <d v="2023-05-11T00:00:00Z"/>
        <d v="2023-05-10T00:00:00Z"/>
        <d v="2023-05-09T00:00:00Z"/>
        <d v="2023-05-05T00:00:00Z"/>
        <d v="2023-05-07T00:00:00Z"/>
        <d v="2023-05-06T00:00:00Z"/>
        <d v="2023-05-03T00:00:00Z"/>
        <d v="2023-05-02T00:00:00Z"/>
        <d v="2023-05-01T00:00:00Z"/>
        <d v="2023-04-25T00:00:00Z"/>
        <d v="2023-04-29T00:00:00Z"/>
        <d v="2023-04-30T00:00:00Z"/>
        <d v="2023-04-26T00:00:00Z"/>
        <d v="2023-04-28T00:00:00Z"/>
        <d v="2023-04-24T00:00:00Z"/>
        <d v="2023-04-22T00:00:00Z"/>
        <d v="2023-04-21T00:00:00Z"/>
        <d v="2023-04-23T00:00:00Z"/>
        <d v="2023-04-19T00:00:00Z"/>
        <d v="2023-04-20T00:00:00Z"/>
        <d v="2023-04-14T00:00:00Z"/>
        <d v="2023-04-15T00:00:00Z"/>
        <d v="2023-04-13T00:00:00Z"/>
        <d v="2023-04-10T00:00:00Z"/>
        <d v="2023-04-17T00:00:00Z"/>
        <d v="2023-04-07T00:00:00Z"/>
        <d v="2023-04-09T00:00:00Z"/>
        <d v="2023-04-08T00:00:00Z"/>
        <d v="2023-04-06T00:00:00Z"/>
        <d v="2023-04-05T00:00:00Z"/>
        <d v="2023-03-31T00:00:00Z"/>
        <d v="2023-04-04T00:00:00Z"/>
        <d v="2023-04-02T00:00:00Z"/>
        <d v="2023-03-30T00:00:00Z"/>
        <d v="2023-04-03T00:00:00Z"/>
        <d v="2023-04-01T00:00:00Z"/>
        <d v="2023-03-29T00:00:00Z"/>
        <d v="2023-03-28T00:00:00Z"/>
        <d v="2023-03-24T00:00:00Z"/>
        <d v="2023-03-27T00:00:00Z"/>
        <d v="2023-03-26T00:00:00Z"/>
        <d v="2023-03-23T00:00:00Z"/>
        <d v="2023-03-25T00:00:00Z"/>
        <d v="2023-03-22T00:00:00Z"/>
        <d v="2023-03-17T00:00:00Z"/>
        <d v="2023-03-21T00:00:00Z"/>
        <d v="2023-03-19T00:00:00Z"/>
        <d v="2023-03-20T00:00:00Z"/>
        <d v="2023-03-18T00:00:00Z"/>
        <d v="2023-03-16T00:00:00Z"/>
        <d v="2023-03-15T00:00:00Z"/>
        <d v="2023-03-09T00:00:00Z"/>
        <d v="2023-03-13T00:00:00Z"/>
        <d v="2023-03-14T00:00:00Z"/>
        <d v="2023-03-11T00:00:00Z"/>
        <d v="2023-03-12T00:00:00Z"/>
        <d v="2023-03-10T00:00:00Z"/>
        <d v="2023-03-08T00:00:00Z"/>
        <d v="2023-03-07T00:00:00Z"/>
        <d v="2023-03-06T00:00:00Z"/>
        <d v="2023-03-05T00:00:00Z"/>
        <d v="2023-03-04T00:00:00Z"/>
        <d v="2023-03-03T00:00:00Z"/>
        <d v="2023-02-28T00:00:00Z"/>
        <d v="2023-02-27T00:00:00Z"/>
        <d v="2023-03-01T00:00:00Z"/>
        <d v="2023-03-02T00:00:00Z"/>
        <d v="2023-02-25T00:00:00Z"/>
        <d v="2023-02-26T00:00:00Z"/>
        <d v="2023-02-21T00:00:00Z"/>
        <d v="2023-02-19T00:00:00Z"/>
        <d v="2023-02-23T00:00:00Z"/>
        <d v="2023-02-24T00:00:00Z"/>
        <d v="2023-02-16T00:00:00Z"/>
        <d v="2023-02-17T00:00:00Z"/>
        <d v="2023-02-15T00:00:00Z"/>
        <d v="2023-02-13T00:00:00Z"/>
        <d v="2023-02-14T00:00:00Z"/>
        <d v="2023-02-12T00:00:00Z"/>
        <d v="2023-02-11T00:00:00Z"/>
        <d v="2023-02-10T00:00:00Z"/>
        <d v="2023-02-09T00:00:00Z"/>
        <d v="2023-02-20T00:00:00Z"/>
        <d v="2023-02-08T00:00:00Z"/>
        <d v="2023-02-04T00:00:00Z"/>
        <d v="2023-02-07T00:00:00Z"/>
        <d v="2023-02-02T00:00:00Z"/>
        <d v="2023-02-03T00:00:00Z"/>
        <d v="2023-02-05T00:00:00Z"/>
        <d v="2023-02-01T00:00:00Z"/>
        <d v="2023-01-31T00:00:00Z"/>
        <d v="2023-01-30T00:00:00Z"/>
        <d v="2023-01-29T00:00:00Z"/>
        <d v="2023-01-28T00:00:00Z"/>
        <d v="2023-01-26T00:00:00Z"/>
        <d v="2023-01-23T00:00:00Z"/>
        <d v="2023-01-24T00:00:00Z"/>
        <d v="2023-01-25T00:00:00Z"/>
        <d v="2023-01-22T00:00:00Z"/>
        <d v="2023-01-20T00:00:00Z"/>
        <d v="2023-01-19T00:00:00Z"/>
        <d v="2023-01-21T00:00:00Z"/>
        <d v="2023-01-17T00:00:00Z"/>
        <d v="2023-01-16T00:00:00Z"/>
        <d v="2023-01-14T00:00:00Z"/>
        <d v="2023-01-13T00:00:00Z"/>
        <d v="2023-01-12T00:00:00Z"/>
        <d v="2023-01-15T00:00:00Z"/>
        <d v="2023-01-08T00:00:00Z"/>
        <d v="2023-01-11T00:00:00Z"/>
        <d v="2023-01-09T00:00:00Z"/>
        <d v="2023-01-06T00:00:00Z"/>
        <d v="2023-01-07T00:00:00Z"/>
        <d v="2023-01-05T00:00:00Z"/>
        <d v="2022-12-31T00:00:00Z"/>
        <d v="2023-01-04T00:00:00Z"/>
        <d v="2023-01-03T00:00:00Z"/>
        <d v="2023-01-01T00:00:00Z"/>
        <d v="2022-12-30T00:00:00Z"/>
        <d v="2022-12-27T00:00:00Z"/>
        <d v="2023-01-02T00:00:00Z"/>
        <d v="2022-12-28T00:00:00Z"/>
        <d v="2022-12-29T00:00:00Z"/>
        <d v="2022-12-26T00:00:00Z"/>
        <d v="2022-12-25T00:00:00Z"/>
        <d v="2022-12-24T00:00:00Z"/>
        <d v="2022-12-23T00:00:00Z"/>
        <d v="2022-12-22T00:00:00Z"/>
        <d v="2022-12-21T00:00:00Z"/>
        <d v="2022-12-18T00:00:00Z"/>
        <d v="2022-12-20T00:00:00Z"/>
        <d v="2022-12-19T00:00:00Z"/>
        <d v="2022-12-17T00:00:00Z"/>
        <d v="2022-12-16T00:00:00Z"/>
        <d v="2022-12-12T00:00:00Z"/>
        <d v="2022-12-15T00:00:00Z"/>
        <d v="2022-12-14T00:00:00Z"/>
        <d v="2022-12-11T00:00:00Z"/>
        <d v="2022-12-09T00:00:00Z"/>
        <d v="2022-12-10T00:00:00Z"/>
        <d v="2022-12-08T00:00:00Z"/>
        <d v="2022-12-07T00:00:00Z"/>
        <d v="2022-12-06T00:00:00Z"/>
        <d v="2022-12-05T00:00:00Z"/>
        <d v="2022-12-04T00:00:00Z"/>
        <d v="2022-12-02T00:00:00Z"/>
        <d v="2022-12-01T00:00:00Z"/>
        <d v="2022-12-03T00:00:00Z"/>
        <d v="2022-11-28T00:00:00Z"/>
        <d v="2022-11-27T00:00:00Z"/>
        <d v="2022-11-30T00:00:00Z"/>
        <d v="2022-11-24T00:00:00Z"/>
        <d v="2022-11-29T00:00:00Z"/>
        <d v="2022-11-23T00:00:00Z"/>
        <d v="2022-11-25T00:00:00Z"/>
        <d v="2022-11-22T00:00:00Z"/>
        <d v="2022-11-26T00:00:00Z"/>
        <d v="2022-11-20T00:00:00Z"/>
        <d v="2022-11-19T00:00:00Z"/>
        <d v="2022-11-16T00:00:00Z"/>
        <d v="2022-11-18T00:00:00Z"/>
        <d v="2022-11-15T00:00:00Z"/>
        <d v="2022-11-14T00:00:00Z"/>
        <d v="2022-11-13T00:00:00Z"/>
        <d v="2022-11-12T00:00:00Z"/>
        <d v="2022-11-11T00:00:00Z"/>
        <d v="2022-11-10T00:00:00Z"/>
        <d v="2022-11-07T00:00:00Z"/>
        <d v="2022-11-09T00:00:00Z"/>
        <d v="2022-11-06T00:00:00Z"/>
        <d v="2022-11-08T00:00:00Z"/>
        <d v="2022-11-02T00:00:00Z"/>
        <d v="2022-11-03T00:00:00Z"/>
        <d v="2022-11-01T00:00:00Z"/>
        <d v="2022-10-31T00:00:00Z"/>
        <d v="2022-10-30T00:00:00Z"/>
        <d v="2022-10-27T00:00:00Z"/>
        <d v="2022-10-26T00:00:00Z"/>
        <d v="2022-10-16T00:00:00Z"/>
        <d v="2022-10-25T00:00:00Z"/>
        <d v="2022-10-28T00:00:00Z"/>
        <d v="2022-10-24T00:00:00Z"/>
        <d v="2022-10-15T00:00:00Z"/>
        <d v="2022-10-13T00:00:00Z"/>
        <d v="2022-10-22T00:00:00Z"/>
        <d v="2022-10-23T00:00:00Z"/>
        <d v="2022-10-17T00:00:00Z"/>
        <d v="2022-10-21T00:00:00Z"/>
        <d v="2022-10-20T00:00:00Z"/>
        <d v="2022-10-19T00:00:00Z"/>
        <d v="2022-10-18T00:00:00Z"/>
        <d v="2022-10-12T00:00:00Z"/>
        <d v="2022-10-14T00:00:00Z"/>
        <d v="2022-10-05T00:00:00Z"/>
        <d v="2022-10-11T00:00:00Z"/>
        <d v="2022-10-10T00:00:00Z"/>
        <d v="2022-10-09T00:00:00Z"/>
        <d v="2022-10-07T00:00:00Z"/>
        <d v="2022-10-08T00:00:00Z"/>
        <d v="2022-10-03T00:00:00Z"/>
        <d v="2022-10-06T00:00:00Z"/>
        <d v="2022-10-04T00:00:00Z"/>
        <d v="2022-10-02T00:00:00Z"/>
        <d v="2022-09-28T00:00:00Z"/>
        <d v="2022-10-01T00:00:00Z"/>
        <d v="2022-09-30T00:00:00Z"/>
        <d v="2022-09-26T00:00:00Z"/>
        <d v="2022-09-29T00:00:00Z"/>
        <d v="2022-09-27T00:00:00Z"/>
        <d v="2022-09-24T00:00:00Z"/>
        <d v="2022-09-23T00:00:00Z"/>
        <d v="2022-09-25T00:00:00Z"/>
        <d v="2022-09-21T00:00:00Z"/>
        <d v="2022-09-22T00:00:00Z"/>
        <d v="2022-09-20T00:00:00Z"/>
        <d v="2022-09-18T00:00:00Z"/>
        <d v="2022-09-19T00:00:00Z"/>
        <d v="2022-09-17T00:00:00Z"/>
        <d v="2022-09-16T00:00:00Z"/>
        <d v="2022-09-15T00:00:00Z"/>
        <d v="2022-09-14T00:00:00Z"/>
        <d v="2022-09-13T00:00:00Z"/>
        <d v="2022-09-12T00:00:00Z"/>
        <d v="2022-09-11T00:00:00Z"/>
        <d v="2022-09-10T00:00:00Z"/>
        <d v="2022-09-09T00:00:00Z"/>
        <d v="2022-09-07T00:00:00Z"/>
        <d v="2022-09-06T00:00:00Z"/>
        <d v="2022-09-05T00:00:00Z"/>
        <d v="2022-09-04T00:00:00Z"/>
        <d v="2022-09-03T00:00:00Z"/>
        <d v="2022-09-01T00:00:00Z"/>
        <d v="2022-09-02T00:00:00Z"/>
        <d v="2022-08-31T00:00:00Z"/>
        <d v="2022-08-29T00:00:00Z"/>
        <d v="2022-08-28T00:00:00Z"/>
        <d v="2022-08-27T00:00:00Z"/>
        <d v="2022-08-26T00:00:00Z"/>
        <d v="2022-08-25T00:00:00Z"/>
        <d v="2022-08-24T00:00:00Z"/>
        <d v="2022-08-23T00:00:00Z"/>
        <d v="2022-08-22T00:00:00Z"/>
        <d v="2022-08-20T00:00:00Z"/>
        <d v="2022-08-19T00:00:00Z"/>
        <d v="2022-08-21T00:00:00Z"/>
        <d v="2022-08-18T00:00:00Z"/>
        <d v="2022-08-16T00:00:00Z"/>
        <d v="2022-08-15T00:00:00Z"/>
        <d v="2022-08-14T00:00:00Z"/>
        <d v="2022-08-13T00:00:00Z"/>
        <d v="2022-08-11T00:00:00Z"/>
        <d v="2022-08-10T00:00:00Z"/>
        <d v="2022-08-09T00:00:00Z"/>
        <d v="2022-08-07T00:00:00Z"/>
        <d v="2022-08-06T00:00:00Z"/>
        <d v="2022-08-03T00:00:00Z"/>
        <m/>
      </sharedItems>
    </cacheField>
    <cacheField name="Income group" numFmtId="0">
      <sharedItems containsBlank="1">
        <s v="high-income"/>
        <s v="upper-middle-income"/>
        <s v="lower-middle income"/>
        <s v="low-income"/>
        <m/>
      </sharedItems>
    </cacheField>
    <cacheField name="Flag" numFmtId="0">
      <sharedItems containsBlank="1">
        <s v="Türkiye"/>
        <s v="St. Kitts and Nevis"/>
        <s v="Belize"/>
        <s v="Liberia"/>
        <s v="Panama"/>
        <m/>
        <s v="Malta"/>
        <s v="Tuvalu"/>
        <s v="Marshall Islands"/>
        <s v="China"/>
        <s v="Egypt"/>
        <s v="Barbados"/>
        <s v="Hong Kong"/>
        <s v="Greece"/>
        <s v="Libera"/>
        <s v="St. Vincent"/>
        <s v="Palau"/>
        <s v="India"/>
        <s v="Norway"/>
        <s v="Singapore"/>
        <s v="Hong-Kong"/>
        <s v="Sierra Leone"/>
        <s v="Comoros"/>
        <s v="Bahamas"/>
        <s v="Lebanon"/>
        <s v="Niue"/>
        <s v="Turkey"/>
        <s v="Cook Islands"/>
        <s v="St Vincent"/>
        <s v="Guinea-Bissau"/>
        <s v="Turkiye"/>
        <s v="Togo"/>
        <s v="St. Vincent and the Grenadines"/>
        <s v="Cayman Islands"/>
        <s v="Beliza"/>
        <s v="Vanuatu"/>
        <s v="St. Kitts and Navis"/>
        <s v="Ukraine"/>
        <s v="Honduras"/>
        <s v="Portugal"/>
        <s v="Croatia"/>
        <s v="Thailand"/>
        <s v="Tanzania"/>
        <s v="Cameroon"/>
        <s v="Equatorial Guinea"/>
        <s v="Bulgaria"/>
      </sharedItems>
    </cacheField>
    <cacheField name="World Bank region" numFmtId="0">
      <sharedItems containsBlank="1">
        <s v="Europe &amp; Central Asia"/>
        <s v="Middle East &amp; North Africa"/>
        <s v="East Asia &amp; Pacific"/>
        <s v="Sub-Saharan Africa"/>
        <s v="South Asia"/>
        <m/>
      </sharedItems>
    </cacheField>
    <cacheField name="UN region" numFmtId="0">
      <sharedItems containsBlank="1">
        <s v="Western Europe and Others"/>
        <s v="Asia-Pacific"/>
        <s v="Africa"/>
        <s v="Eastern Europe"/>
        <m/>
      </sharedItems>
    </cacheField>
    <cacheField name="Development category" numFmtId="0">
      <sharedItems containsBlank="1">
        <s v="developed"/>
        <s v="developing"/>
        <m/>
      </sharedItems>
    </cacheField>
    <cacheField name="WFP" numFmtId="0">
      <sharedItems containsBlank="1">
        <m/>
        <s v="WFP"/>
      </sharedItems>
    </cacheField>
    <cacheField name="Stranded" numFmtId="0">
      <sharedItems containsBlank="1">
        <m/>
        <s v="Stranded"/>
      </sharedItems>
    </cacheField>
    <cacheField name=" " numFmtId="0">
      <sharedItems containsString="0" containsBlank="1">
        <m/>
      </sharedItems>
    </cacheField>
    <cacheField name=" 2" numFmtId="0">
      <sharedItems containsString="0" containsBlank="1">
        <m/>
      </sharedItems>
    </cacheField>
    <cacheField name=" 3" numFmtId="0">
      <sharedItems containsString="0" containsBlank="1">
        <m/>
      </sharedItems>
    </cacheField>
    <cacheField name=" 4" numFmtId="0">
      <sharedItems containsString="0" containsBlank="1">
        <m/>
      </sharedItems>
    </cacheField>
    <cacheField name=" 5" numFmtId="0">
      <sharedItems containsString="0" containsBlank="1">
        <m/>
      </sharedItems>
    </cacheField>
    <cacheField name=" 6" numFmtId="0">
      <sharedItems containsString="0" containsBlank="1">
        <m/>
      </sharedItems>
    </cacheField>
    <cacheField name=" 7" numFmtId="0">
      <sharedItems containsString="0" containsBlank="1">
        <m/>
      </sharedItems>
    </cacheField>
    <cacheField name=" 8" numFmtId="0">
      <sharedItems containsString="0" containsBlank="1">
        <m/>
      </sharedItems>
    </cacheField>
    <cacheField name=" 9" numFmtId="0">
      <sharedItems containsString="0" containsBlank="1">
        <m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estinations" cacheId="0" dataCaption="" compact="0" compactData="0">
  <location ref="A3:C9" firstHeaderRow="0" firstDataRow="2" firstDataCol="0" rowPageCount="1" colPageCount="1"/>
  <pivotFields>
    <pivotField name="Status" axis="axisPage" compact="0" outline="0" multipleItemSelectionAllowed="1" showAll="0">
      <items>
        <item x="0"/>
        <item x="1"/>
        <item h="1" x="2"/>
        <item t="default"/>
      </items>
    </pivotField>
    <pivotField name="#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t="default"/>
      </items>
    </pivotField>
    <pivotField name="Vessel nam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t="default"/>
      </items>
    </pivotField>
    <pivotField name="IM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t="default"/>
      </items>
    </pivotField>
    <pivotField name="Departure port" compact="0" outline="0" multipleItemSelectionAllowed="1" showAll="0">
      <items>
        <item x="0"/>
        <item x="1"/>
        <item x="2"/>
        <item x="3"/>
        <item t="default"/>
      </items>
    </pivotField>
    <pivotField name="Country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ommodity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Metric tons" dataField="1" compact="0" numFmtId="3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t="default"/>
      </items>
    </pivotField>
    <pivotField name="Departure date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t="default"/>
      </items>
    </pivotField>
    <pivotField name="Inspection cleared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t="default"/>
      </items>
    </pivotField>
    <pivotField name="Income group" compact="0" outline="0" multipleItemSelectionAllowed="1" showAll="0">
      <items>
        <item x="0"/>
        <item x="1"/>
        <item x="2"/>
        <item x="3"/>
        <item x="4"/>
        <item t="default"/>
      </items>
    </pivotField>
    <pivotField name="Flag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World Bank region" axis="axisRow" compact="0" outline="0" multipleItemSelectionAllowed="1" showAll="0" sortType="ascending">
      <items>
        <item x="5"/>
        <item x="2"/>
        <item x="0"/>
        <item x="1"/>
        <item x="4"/>
        <item x="3"/>
        <item t="default"/>
      </items>
    </pivotField>
    <pivotField name="UN region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evelopment category" compact="0" outline="0" multipleItemSelectionAllowed="1" showAll="0">
      <items>
        <item x="0"/>
        <item x="1"/>
        <item x="2"/>
        <item t="default"/>
      </items>
    </pivotField>
    <pivotField name="WFP" compact="0" outline="0" multipleItemSelectionAllowed="1" showAll="0">
      <items>
        <item x="0"/>
        <item x="1"/>
        <item t="default"/>
      </items>
    </pivotField>
    <pivotField name="Stranded" compact="0" outline="0" multipleItemSelectionAllowed="1" showAll="0">
      <items>
        <item x="0"/>
        <item x="1"/>
        <item t="default"/>
      </items>
    </pivotField>
    <pivotField name=" " compact="0" outline="0" multipleItemSelectionAllowed="1" showAll="0">
      <items>
        <item x="0"/>
        <item t="default"/>
      </items>
    </pivotField>
    <pivotField name=" 2" compact="0" outline="0" multipleItemSelectionAllowed="1" showAll="0">
      <items>
        <item x="0"/>
        <item t="default"/>
      </items>
    </pivotField>
    <pivotField name=" 3" compact="0" outline="0" multipleItemSelectionAllowed="1" showAll="0">
      <items>
        <item x="0"/>
        <item t="default"/>
      </items>
    </pivotField>
    <pivotField name=" 4" compact="0" outline="0" multipleItemSelectionAllowed="1" showAll="0">
      <items>
        <item x="0"/>
        <item t="default"/>
      </items>
    </pivotField>
    <pivotField name=" 5" compact="0" outline="0" multipleItemSelectionAllowed="1" showAll="0">
      <items>
        <item x="0"/>
        <item t="default"/>
      </items>
    </pivotField>
    <pivotField name=" 6" compact="0" outline="0" multipleItemSelectionAllowed="1" showAll="0">
      <items>
        <item x="0"/>
        <item t="default"/>
      </items>
    </pivotField>
    <pivotField name=" 7" compact="0" outline="0" multipleItemSelectionAllowed="1" showAll="0">
      <items>
        <item x="0"/>
        <item t="default"/>
      </items>
    </pivotField>
    <pivotField name=" 8" compact="0" outline="0" multipleItemSelectionAllowed="1" showAll="0">
      <items>
        <item x="0"/>
        <item t="default"/>
      </items>
    </pivotField>
    <pivotField name=" 9" compact="0" outline="0" multipleItemSelectionAllowed="1" showAll="0">
      <items>
        <item x="0"/>
        <item t="default"/>
      </items>
    </pivotField>
  </pivotFields>
  <rowFields>
    <field x="12"/>
  </rowFields>
  <colFields>
    <field x="-2"/>
  </colFields>
  <pageFields>
    <pageField fld="0"/>
  </pageFields>
  <dataFields>
    <dataField name="Metric tons" fld="7" baseField="0"/>
    <dataField name="per cent of total" fld="7" showDataAs="percentOfTotal" baseField="0" numFmtId="10"/>
  </dataFields>
</pivotTableDefinition>
</file>

<file path=xl/pivotTables/pivotTable2.xml><?xml version="1.0" encoding="utf-8"?>
<pivotTableDefinition xmlns="http://schemas.openxmlformats.org/spreadsheetml/2006/main" name="Destinations 2" cacheId="0" dataCaption="" compact="0" compactData="0">
  <location ref="A10:C15" firstHeaderRow="0" firstDataRow="2" firstDataCol="0" rowPageCount="1" colPageCount="1"/>
  <pivotFields>
    <pivotField name="Status" axis="axisPage" compact="0" outline="0" multipleItemSelectionAllowed="1" showAll="0">
      <items>
        <item x="0"/>
        <item x="1"/>
        <item h="1" x="2"/>
        <item t="default"/>
      </items>
    </pivotField>
    <pivotField name="#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t="default"/>
      </items>
    </pivotField>
    <pivotField name="Vessel nam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t="default"/>
      </items>
    </pivotField>
    <pivotField name="IM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t="default"/>
      </items>
    </pivotField>
    <pivotField name="Departure port" compact="0" outline="0" multipleItemSelectionAllowed="1" showAll="0">
      <items>
        <item x="0"/>
        <item x="1"/>
        <item x="2"/>
        <item x="3"/>
        <item t="default"/>
      </items>
    </pivotField>
    <pivotField name="Country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ommodity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Metric tons" dataField="1" compact="0" numFmtId="3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t="default"/>
      </items>
    </pivotField>
    <pivotField name="Departure date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t="default"/>
      </items>
    </pivotField>
    <pivotField name="Inspection cleared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t="default"/>
      </items>
    </pivotField>
    <pivotField name="Income group" axis="axisRow" compact="0" outline="0" multipleItemSelectionAllowed="1" showAll="0" sortType="descending">
      <items>
        <item x="0"/>
        <item x="1"/>
        <item x="2"/>
        <item x="3"/>
        <item x="4"/>
        <item t="default"/>
      </items>
      <autoSortScope>
        <pivotArea>
          <references>
            <reference field="4294967294">
              <x v="0"/>
            </reference>
          </references>
        </pivotArea>
      </autoSortScope>
    </pivotField>
    <pivotField name="Flag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World Bank region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UN region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evelopment category" compact="0" outline="0" multipleItemSelectionAllowed="1" showAll="0">
      <items>
        <item x="0"/>
        <item x="1"/>
        <item x="2"/>
        <item t="default"/>
      </items>
    </pivotField>
    <pivotField name="WFP" compact="0" outline="0" multipleItemSelectionAllowed="1" showAll="0">
      <items>
        <item x="0"/>
        <item x="1"/>
        <item t="default"/>
      </items>
    </pivotField>
    <pivotField name="Stranded" compact="0" outline="0" multipleItemSelectionAllowed="1" showAll="0">
      <items>
        <item x="0"/>
        <item x="1"/>
        <item t="default"/>
      </items>
    </pivotField>
    <pivotField name=" " compact="0" outline="0" multipleItemSelectionAllowed="1" showAll="0">
      <items>
        <item x="0"/>
        <item t="default"/>
      </items>
    </pivotField>
    <pivotField name=" 2" compact="0" outline="0" multipleItemSelectionAllowed="1" showAll="0">
      <items>
        <item x="0"/>
        <item t="default"/>
      </items>
    </pivotField>
    <pivotField name=" 3" compact="0" outline="0" multipleItemSelectionAllowed="1" showAll="0">
      <items>
        <item x="0"/>
        <item t="default"/>
      </items>
    </pivotField>
    <pivotField name=" 4" compact="0" outline="0" multipleItemSelectionAllowed="1" showAll="0">
      <items>
        <item x="0"/>
        <item t="default"/>
      </items>
    </pivotField>
    <pivotField name=" 5" compact="0" outline="0" multipleItemSelectionAllowed="1" showAll="0">
      <items>
        <item x="0"/>
        <item t="default"/>
      </items>
    </pivotField>
    <pivotField name=" 6" compact="0" outline="0" multipleItemSelectionAllowed="1" showAll="0">
      <items>
        <item x="0"/>
        <item t="default"/>
      </items>
    </pivotField>
    <pivotField name=" 7" compact="0" outline="0" multipleItemSelectionAllowed="1" showAll="0">
      <items>
        <item x="0"/>
        <item t="default"/>
      </items>
    </pivotField>
    <pivotField name=" 8" compact="0" outline="0" multipleItemSelectionAllowed="1" showAll="0">
      <items>
        <item x="0"/>
        <item t="default"/>
      </items>
    </pivotField>
    <pivotField name=" 9" compact="0" outline="0" multipleItemSelectionAllowed="1" showAll="0">
      <items>
        <item x="0"/>
        <item t="default"/>
      </items>
    </pivotField>
  </pivotFields>
  <rowFields>
    <field x="10"/>
  </rowFields>
  <colFields>
    <field x="-2"/>
  </colFields>
  <pageFields>
    <pageField fld="0"/>
  </pageFields>
  <dataFields>
    <dataField name="Metric tons" fld="7" baseField="0"/>
    <dataField name="per cent of total" fld="7" showDataAs="percentOfTotal" baseField="0" numFmtId="10"/>
  </dataFields>
</pivotTableDefinition>
</file>

<file path=xl/pivotTables/pivotTable3.xml><?xml version="1.0" encoding="utf-8"?>
<pivotTableDefinition xmlns="http://schemas.openxmlformats.org/spreadsheetml/2006/main" name="Destinations 3" cacheId="0" dataCaption="" compact="0" compactData="0">
  <location ref="A18:C21" firstHeaderRow="0" firstDataRow="2" firstDataCol="0" rowPageCount="1" colPageCount="1"/>
  <pivotFields>
    <pivotField name="Status" axis="axisPage" compact="0" outline="0" multipleItemSelectionAllowed="1" showAll="0">
      <items>
        <item x="0"/>
        <item x="1"/>
        <item h="1" x="2"/>
        <item t="default"/>
      </items>
    </pivotField>
    <pivotField name="#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t="default"/>
      </items>
    </pivotField>
    <pivotField name="Vessel nam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t="default"/>
      </items>
    </pivotField>
    <pivotField name="IM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t="default"/>
      </items>
    </pivotField>
    <pivotField name="Departure port" compact="0" outline="0" multipleItemSelectionAllowed="1" showAll="0">
      <items>
        <item x="0"/>
        <item x="1"/>
        <item x="2"/>
        <item x="3"/>
        <item t="default"/>
      </items>
    </pivotField>
    <pivotField name="Country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ommodity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Metric tons" dataField="1" compact="0" numFmtId="3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t="default"/>
      </items>
    </pivotField>
    <pivotField name="Departure date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t="default"/>
      </items>
    </pivotField>
    <pivotField name="Inspection cleared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t="default"/>
      </items>
    </pivotField>
    <pivotField name="Income group" compact="0" outline="0" multipleItemSelectionAllowed="1" showAll="0">
      <items>
        <item x="0"/>
        <item x="1"/>
        <item x="2"/>
        <item x="3"/>
        <item x="4"/>
        <item t="default"/>
      </items>
    </pivotField>
    <pivotField name="Flag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World Bank region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UN region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evelopment category" axis="axisRow" compact="0" outline="0" multipleItemSelectionAllowed="1" showAll="0" sortType="ascending">
      <items>
        <item x="2"/>
        <item x="0"/>
        <item x="1"/>
        <item t="default"/>
      </items>
    </pivotField>
    <pivotField name="WFP" compact="0" outline="0" multipleItemSelectionAllowed="1" showAll="0">
      <items>
        <item x="0"/>
        <item x="1"/>
        <item t="default"/>
      </items>
    </pivotField>
    <pivotField name="Stranded" compact="0" outline="0" multipleItemSelectionAllowed="1" showAll="0">
      <items>
        <item x="0"/>
        <item x="1"/>
        <item t="default"/>
      </items>
    </pivotField>
    <pivotField name=" " compact="0" outline="0" multipleItemSelectionAllowed="1" showAll="0">
      <items>
        <item x="0"/>
        <item t="default"/>
      </items>
    </pivotField>
    <pivotField name=" 2" compact="0" outline="0" multipleItemSelectionAllowed="1" showAll="0">
      <items>
        <item x="0"/>
        <item t="default"/>
      </items>
    </pivotField>
    <pivotField name=" 3" compact="0" outline="0" multipleItemSelectionAllowed="1" showAll="0">
      <items>
        <item x="0"/>
        <item t="default"/>
      </items>
    </pivotField>
    <pivotField name=" 4" compact="0" outline="0" multipleItemSelectionAllowed="1" showAll="0">
      <items>
        <item x="0"/>
        <item t="default"/>
      </items>
    </pivotField>
    <pivotField name=" 5" compact="0" outline="0" multipleItemSelectionAllowed="1" showAll="0">
      <items>
        <item x="0"/>
        <item t="default"/>
      </items>
    </pivotField>
    <pivotField name=" 6" compact="0" outline="0" multipleItemSelectionAllowed="1" showAll="0">
      <items>
        <item x="0"/>
        <item t="default"/>
      </items>
    </pivotField>
    <pivotField name=" 7" compact="0" outline="0" multipleItemSelectionAllowed="1" showAll="0">
      <items>
        <item x="0"/>
        <item t="default"/>
      </items>
    </pivotField>
    <pivotField name=" 8" compact="0" outline="0" multipleItemSelectionAllowed="1" showAll="0">
      <items>
        <item x="0"/>
        <item t="default"/>
      </items>
    </pivotField>
    <pivotField name=" 9" compact="0" outline="0" multipleItemSelectionAllowed="1" showAll="0">
      <items>
        <item x="0"/>
        <item t="default"/>
      </items>
    </pivotField>
  </pivotFields>
  <rowFields>
    <field x="14"/>
  </rowFields>
  <colFields>
    <field x="-2"/>
  </colFields>
  <pageFields>
    <pageField fld="0"/>
  </pageFields>
  <dataFields>
    <dataField name="Metric tons" fld="7" baseField="0"/>
    <dataField name="per cent of total" fld="7" showDataAs="percentOfTotal" baseField="0" numFmtId="1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0.5"/>
    <col customWidth="1" min="2" max="2" width="7.63"/>
    <col customWidth="1" min="3" max="3" width="20.63"/>
    <col customWidth="1" min="4" max="4" width="10.75"/>
    <col customWidth="1" min="13" max="13" width="21.75"/>
  </cols>
  <sheetData>
    <row r="1">
      <c r="A1" s="1" t="str">
        <f>IFERROR(__xludf.DUMMYFUNCTION("QUERY(IMPORTRANGE(""https://docs.google.com/spreadsheets/d/1N9edfUUIH4mMhSvV3wd4e1sV_7Zi3twZx_OalDWAsvM/edit?usp=sharing"",""Shipments!A1:AK3500""), ""select Col1, Col2, Col3, Col4, Col5, Col7, Col8, Col9,  Col12, Col13, Col18, Col19, Col20, Col21, Col22,"&amp;" Col17, Col37  WHERE Col1 CONTAINS 'Outbound'  ORDER BY Col2 DESC"")"),"Status")</f>
        <v>Status</v>
      </c>
      <c r="B1" s="2" t="str">
        <f>IFERROR(__xludf.DUMMYFUNCTION("""COMPUTED_VALUE"""),"#")</f>
        <v>#</v>
      </c>
      <c r="C1" s="2" t="str">
        <f>IFERROR(__xludf.DUMMYFUNCTION("""COMPUTED_VALUE"""),"Vessel name")</f>
        <v>Vessel name</v>
      </c>
      <c r="D1" s="2" t="str">
        <f>IFERROR(__xludf.DUMMYFUNCTION("""COMPUTED_VALUE"""),"IMO")</f>
        <v>IMO</v>
      </c>
      <c r="E1" s="2" t="str">
        <f>IFERROR(__xludf.DUMMYFUNCTION("""COMPUTED_VALUE"""),"Departure port")</f>
        <v>Departure port</v>
      </c>
      <c r="F1" s="2" t="str">
        <f>IFERROR(__xludf.DUMMYFUNCTION("""COMPUTED_VALUE"""),"Country")</f>
        <v>Country</v>
      </c>
      <c r="G1" s="2" t="str">
        <f>IFERROR(__xludf.DUMMYFUNCTION("""COMPUTED_VALUE"""),"Commodity")</f>
        <v>Commodity</v>
      </c>
      <c r="H1" s="2" t="str">
        <f>IFERROR(__xludf.DUMMYFUNCTION("""COMPUTED_VALUE"""),"Metric tons")</f>
        <v>Metric tons</v>
      </c>
      <c r="I1" s="2" t="str">
        <f>IFERROR(__xludf.DUMMYFUNCTION("""COMPUTED_VALUE"""),"Departure date")</f>
        <v>Departure date</v>
      </c>
      <c r="J1" s="3" t="str">
        <f>IFERROR(__xludf.DUMMYFUNCTION("""COMPUTED_VALUE"""),"Inspection cleared")</f>
        <v>Inspection cleared</v>
      </c>
      <c r="K1" s="2" t="str">
        <f>IFERROR(__xludf.DUMMYFUNCTION("""COMPUTED_VALUE"""),"Income group")</f>
        <v>Income group</v>
      </c>
      <c r="L1" s="2" t="str">
        <f>IFERROR(__xludf.DUMMYFUNCTION("""COMPUTED_VALUE"""),"Flag")</f>
        <v>Flag</v>
      </c>
      <c r="M1" s="2" t="str">
        <f>IFERROR(__xludf.DUMMYFUNCTION("""COMPUTED_VALUE"""),"World Bank region")</f>
        <v>World Bank region</v>
      </c>
      <c r="N1" s="4" t="str">
        <f>IFERROR(__xludf.DUMMYFUNCTION("""COMPUTED_VALUE"""),"UN region")</f>
        <v>UN region</v>
      </c>
      <c r="O1" s="2" t="str">
        <f>IFERROR(__xludf.DUMMYFUNCTION("""COMPUTED_VALUE"""),"Development category")</f>
        <v>Development category</v>
      </c>
      <c r="P1" s="2" t="str">
        <f>IFERROR(__xludf.DUMMYFUNCTION("""COMPUTED_VALUE"""),"WFP")</f>
        <v>WFP</v>
      </c>
      <c r="Q1" s="2" t="str">
        <f>IFERROR(__xludf.DUMMYFUNCTION("""COMPUTED_VALUE"""),"Stranded")</f>
        <v>Stranded</v>
      </c>
      <c r="R1" s="2" t="s">
        <v>0</v>
      </c>
      <c r="S1" s="2" t="s">
        <v>0</v>
      </c>
      <c r="T1" s="2" t="s">
        <v>0</v>
      </c>
      <c r="U1" s="2" t="s">
        <v>0</v>
      </c>
      <c r="V1" s="2" t="s">
        <v>0</v>
      </c>
      <c r="W1" s="2" t="s">
        <v>0</v>
      </c>
      <c r="X1" s="2" t="s">
        <v>0</v>
      </c>
      <c r="Y1" s="2" t="s">
        <v>0</v>
      </c>
      <c r="Z1" s="2" t="s">
        <v>0</v>
      </c>
    </row>
    <row r="2">
      <c r="A2" s="5" t="str">
        <f>IFERROR(__xludf.DUMMYFUNCTION("""COMPUTED_VALUE"""),"Outbound")</f>
        <v>Outbound</v>
      </c>
      <c r="B2" s="5">
        <f>IFERROR(__xludf.DUMMYFUNCTION("""COMPUTED_VALUE"""),1004.0)</f>
        <v>1004</v>
      </c>
      <c r="C2" s="5" t="str">
        <f>IFERROR(__xludf.DUMMYFUNCTION("""COMPUTED_VALUE"""),"TQ SAMSUN")</f>
        <v>TQ SAMSUN</v>
      </c>
      <c r="D2" s="5">
        <f>IFERROR(__xludf.DUMMYFUNCTION("""COMPUTED_VALUE"""),9125566.0)</f>
        <v>9125566</v>
      </c>
      <c r="E2" s="5" t="str">
        <f>IFERROR(__xludf.DUMMYFUNCTION("""COMPUTED_VALUE"""),"Odesa")</f>
        <v>Odesa</v>
      </c>
      <c r="F2" s="5" t="str">
        <f>IFERROR(__xludf.DUMMYFUNCTION("""COMPUTED_VALUE"""),"The Netherlands")</f>
        <v>The Netherlands</v>
      </c>
      <c r="G2" s="5" t="str">
        <f>IFERROR(__xludf.DUMMYFUNCTION("""COMPUTED_VALUE"""),"Rapeseed")</f>
        <v>Rapeseed</v>
      </c>
      <c r="H2" s="6">
        <f>IFERROR(__xludf.DUMMYFUNCTION("""COMPUTED_VALUE"""),15553.0)</f>
        <v>15553</v>
      </c>
      <c r="I2" s="7">
        <f>IFERROR(__xludf.DUMMYFUNCTION("""COMPUTED_VALUE"""),45123.0)</f>
        <v>45123</v>
      </c>
      <c r="J2" s="7">
        <f>IFERROR(__xludf.DUMMYFUNCTION("""COMPUTED_VALUE"""),45124.0)</f>
        <v>45124</v>
      </c>
      <c r="K2" s="5" t="str">
        <f>IFERROR(__xludf.DUMMYFUNCTION("""COMPUTED_VALUE"""),"high-income")</f>
        <v>high-income</v>
      </c>
      <c r="L2" s="5" t="str">
        <f>IFERROR(__xludf.DUMMYFUNCTION("""COMPUTED_VALUE"""),"Türkiye")</f>
        <v>Türkiye</v>
      </c>
      <c r="M2" s="5" t="str">
        <f>IFERROR(__xludf.DUMMYFUNCTION("""COMPUTED_VALUE"""),"Europe &amp; Central Asia")</f>
        <v>Europe &amp; Central Asia</v>
      </c>
      <c r="N2" s="5" t="str">
        <f>IFERROR(__xludf.DUMMYFUNCTION("""COMPUTED_VALUE"""),"Western Europe and Others")</f>
        <v>Western Europe and Others</v>
      </c>
      <c r="O2" s="5" t="str">
        <f>IFERROR(__xludf.DUMMYFUNCTION("""COMPUTED_VALUE"""),"developed")</f>
        <v>developed</v>
      </c>
      <c r="P2" s="5"/>
      <c r="Q2" s="5"/>
    </row>
    <row r="3">
      <c r="A3" s="5" t="str">
        <f>IFERROR(__xludf.DUMMYFUNCTION("""COMPUTED_VALUE"""),"Outbound +")</f>
        <v>Outbound +</v>
      </c>
      <c r="B3" s="5">
        <f>IFERROR(__xludf.DUMMYFUNCTION("""COMPUTED_VALUE"""),1004.0)</f>
        <v>1004</v>
      </c>
      <c r="C3" s="5" t="str">
        <f>IFERROR(__xludf.DUMMYFUNCTION("""COMPUTED_VALUE"""),"TQ SAMSUN")</f>
        <v>TQ SAMSUN</v>
      </c>
      <c r="D3" s="5">
        <f>IFERROR(__xludf.DUMMYFUNCTION("""COMPUTED_VALUE"""),9125566.0)</f>
        <v>9125566</v>
      </c>
      <c r="E3" s="5" t="str">
        <f>IFERROR(__xludf.DUMMYFUNCTION("""COMPUTED_VALUE"""),"Odesa")</f>
        <v>Odesa</v>
      </c>
      <c r="F3" s="5" t="str">
        <f>IFERROR(__xludf.DUMMYFUNCTION("""COMPUTED_VALUE"""),"The Netherlands")</f>
        <v>The Netherlands</v>
      </c>
      <c r="G3" s="5" t="str">
        <f>IFERROR(__xludf.DUMMYFUNCTION("""COMPUTED_VALUE"""),"Corn")</f>
        <v>Corn</v>
      </c>
      <c r="H3" s="6">
        <f>IFERROR(__xludf.DUMMYFUNCTION("""COMPUTED_VALUE"""),23031.0)</f>
        <v>23031</v>
      </c>
      <c r="I3" s="7">
        <f>IFERROR(__xludf.DUMMYFUNCTION("""COMPUTED_VALUE"""),45123.0)</f>
        <v>45123</v>
      </c>
      <c r="J3" s="7">
        <f>IFERROR(__xludf.DUMMYFUNCTION("""COMPUTED_VALUE"""),45124.0)</f>
        <v>45124</v>
      </c>
      <c r="K3" s="5" t="str">
        <f>IFERROR(__xludf.DUMMYFUNCTION("""COMPUTED_VALUE"""),"high-income")</f>
        <v>high-income</v>
      </c>
      <c r="L3" s="5" t="str">
        <f>IFERROR(__xludf.DUMMYFUNCTION("""COMPUTED_VALUE"""),"Türkiye")</f>
        <v>Türkiye</v>
      </c>
      <c r="M3" s="5" t="str">
        <f>IFERROR(__xludf.DUMMYFUNCTION("""COMPUTED_VALUE"""),"Europe &amp; Central Asia")</f>
        <v>Europe &amp; Central Asia</v>
      </c>
      <c r="N3" s="5" t="str">
        <f>IFERROR(__xludf.DUMMYFUNCTION("""COMPUTED_VALUE"""),"Western Europe and Others")</f>
        <v>Western Europe and Others</v>
      </c>
      <c r="O3" s="5" t="str">
        <f>IFERROR(__xludf.DUMMYFUNCTION("""COMPUTED_VALUE"""),"developed")</f>
        <v>developed</v>
      </c>
      <c r="P3" s="5"/>
      <c r="Q3" s="5"/>
    </row>
    <row r="4">
      <c r="A4" s="5" t="str">
        <f>IFERROR(__xludf.DUMMYFUNCTION("""COMPUTED_VALUE"""),"Outbound")</f>
        <v>Outbound</v>
      </c>
      <c r="B4" s="5">
        <f>IFERROR(__xludf.DUMMYFUNCTION("""COMPUTED_VALUE"""),1003.0)</f>
        <v>1003</v>
      </c>
      <c r="C4" s="5" t="str">
        <f>IFERROR(__xludf.DUMMYFUNCTION("""COMPUTED_VALUE"""),"TK MAJESTIC")</f>
        <v>TK MAJESTIC</v>
      </c>
      <c r="D4" s="5">
        <f>IFERROR(__xludf.DUMMYFUNCTION("""COMPUTED_VALUE"""),9072214.0)</f>
        <v>9072214</v>
      </c>
      <c r="E4" s="5" t="str">
        <f>IFERROR(__xludf.DUMMYFUNCTION("""COMPUTED_VALUE"""),"Odesa")</f>
        <v>Odesa</v>
      </c>
      <c r="F4" s="5" t="str">
        <f>IFERROR(__xludf.DUMMYFUNCTION("""COMPUTED_VALUE"""),"Iraq")</f>
        <v>Iraq</v>
      </c>
      <c r="G4" s="5" t="str">
        <f>IFERROR(__xludf.DUMMYFUNCTION("""COMPUTED_VALUE"""),"Corn")</f>
        <v>Corn</v>
      </c>
      <c r="H4" s="6">
        <f>IFERROR(__xludf.DUMMYFUNCTION("""COMPUTED_VALUE"""),37867.0)</f>
        <v>37867</v>
      </c>
      <c r="I4" s="7">
        <f>IFERROR(__xludf.DUMMYFUNCTION("""COMPUTED_VALUE"""),45120.0)</f>
        <v>45120</v>
      </c>
      <c r="J4" s="7">
        <f>IFERROR(__xludf.DUMMYFUNCTION("""COMPUTED_VALUE"""),45122.0)</f>
        <v>45122</v>
      </c>
      <c r="K4" s="5" t="str">
        <f>IFERROR(__xludf.DUMMYFUNCTION("""COMPUTED_VALUE"""),"upper-middle-income")</f>
        <v>upper-middle-income</v>
      </c>
      <c r="L4" s="5" t="str">
        <f>IFERROR(__xludf.DUMMYFUNCTION("""COMPUTED_VALUE"""),"St. Kitts and Nevis")</f>
        <v>St. Kitts and Nevis</v>
      </c>
      <c r="M4" s="5" t="str">
        <f>IFERROR(__xludf.DUMMYFUNCTION("""COMPUTED_VALUE"""),"Middle East &amp; North Africa")</f>
        <v>Middle East &amp; North Africa</v>
      </c>
      <c r="N4" s="5" t="str">
        <f>IFERROR(__xludf.DUMMYFUNCTION("""COMPUTED_VALUE"""),"Asia-Pacific")</f>
        <v>Asia-Pacific</v>
      </c>
      <c r="O4" s="5" t="str">
        <f>IFERROR(__xludf.DUMMYFUNCTION("""COMPUTED_VALUE"""),"developing")</f>
        <v>developing</v>
      </c>
      <c r="P4" s="5"/>
      <c r="Q4" s="5"/>
    </row>
    <row r="5">
      <c r="A5" s="5" t="str">
        <f>IFERROR(__xludf.DUMMYFUNCTION("""COMPUTED_VALUE"""),"Outbound")</f>
        <v>Outbound</v>
      </c>
      <c r="B5" s="5">
        <f>IFERROR(__xludf.DUMMYFUNCTION("""COMPUTED_VALUE"""),1002.0)</f>
        <v>1002</v>
      </c>
      <c r="C5" s="5" t="str">
        <f>IFERROR(__xludf.DUMMYFUNCTION("""COMPUTED_VALUE"""),"MY LAMA")</f>
        <v>MY LAMA</v>
      </c>
      <c r="D5" s="5">
        <f>IFERROR(__xludf.DUMMYFUNCTION("""COMPUTED_VALUE"""),9339791.0)</f>
        <v>9339791</v>
      </c>
      <c r="E5" s="5" t="str">
        <f>IFERROR(__xludf.DUMMYFUNCTION("""COMPUTED_VALUE"""),"Odesa")</f>
        <v>Odesa</v>
      </c>
      <c r="F5" s="5" t="str">
        <f>IFERROR(__xludf.DUMMYFUNCTION("""COMPUTED_VALUE"""),"Tunisia")</f>
        <v>Tunisia</v>
      </c>
      <c r="G5" s="5" t="str">
        <f>IFERROR(__xludf.DUMMYFUNCTION("""COMPUTED_VALUE"""),"Corn")</f>
        <v>Corn</v>
      </c>
      <c r="H5" s="6">
        <f>IFERROR(__xludf.DUMMYFUNCTION("""COMPUTED_VALUE"""),27000.0)</f>
        <v>27000</v>
      </c>
      <c r="I5" s="7">
        <f>IFERROR(__xludf.DUMMYFUNCTION("""COMPUTED_VALUE"""),45115.0)</f>
        <v>45115</v>
      </c>
      <c r="J5" s="7">
        <f>IFERROR(__xludf.DUMMYFUNCTION("""COMPUTED_VALUE"""),45117.0)</f>
        <v>45117</v>
      </c>
      <c r="K5" s="5" t="str">
        <f>IFERROR(__xludf.DUMMYFUNCTION("""COMPUTED_VALUE"""),"lower-middle income")</f>
        <v>lower-middle income</v>
      </c>
      <c r="L5" s="5" t="str">
        <f>IFERROR(__xludf.DUMMYFUNCTION("""COMPUTED_VALUE"""),"Belize")</f>
        <v>Belize</v>
      </c>
      <c r="M5" s="5" t="str">
        <f>IFERROR(__xludf.DUMMYFUNCTION("""COMPUTED_VALUE"""),"Middle East &amp; North Africa")</f>
        <v>Middle East &amp; North Africa</v>
      </c>
      <c r="N5" s="5" t="str">
        <f>IFERROR(__xludf.DUMMYFUNCTION("""COMPUTED_VALUE"""),"Africa")</f>
        <v>Africa</v>
      </c>
      <c r="O5" s="5" t="str">
        <f>IFERROR(__xludf.DUMMYFUNCTION("""COMPUTED_VALUE"""),"developing")</f>
        <v>developing</v>
      </c>
      <c r="P5" s="5"/>
      <c r="Q5" s="5"/>
    </row>
    <row r="6">
      <c r="A6" s="5" t="str">
        <f>IFERROR(__xludf.DUMMYFUNCTION("""COMPUTED_VALUE"""),"Outbound")</f>
        <v>Outbound</v>
      </c>
      <c r="B6" s="5">
        <f>IFERROR(__xludf.DUMMYFUNCTION("""COMPUTED_VALUE"""),1001.0)</f>
        <v>1001</v>
      </c>
      <c r="C6" s="5" t="str">
        <f>IFERROR(__xludf.DUMMYFUNCTION("""COMPUTED_VALUE"""),"MINOAN FLAME")</f>
        <v>MINOAN FLAME</v>
      </c>
      <c r="D6" s="5">
        <f>IFERROR(__xludf.DUMMYFUNCTION("""COMPUTED_VALUE"""),9147423.0)</f>
        <v>9147423</v>
      </c>
      <c r="E6" s="5" t="str">
        <f>IFERROR(__xludf.DUMMYFUNCTION("""COMPUTED_VALUE"""),"Chornomorsk")</f>
        <v>Chornomorsk</v>
      </c>
      <c r="F6" s="5" t="str">
        <f>IFERROR(__xludf.DUMMYFUNCTION("""COMPUTED_VALUE"""),"China")</f>
        <v>China</v>
      </c>
      <c r="G6" s="5" t="str">
        <f>IFERROR(__xludf.DUMMYFUNCTION("""COMPUTED_VALUE"""),"Corn")</f>
        <v>Corn</v>
      </c>
      <c r="H6" s="6">
        <f>IFERROR(__xludf.DUMMYFUNCTION("""COMPUTED_VALUE"""),62447.0)</f>
        <v>62447</v>
      </c>
      <c r="I6" s="7">
        <f>IFERROR(__xludf.DUMMYFUNCTION("""COMPUTED_VALUE"""),45111.0)</f>
        <v>45111</v>
      </c>
      <c r="J6" s="7">
        <f>IFERROR(__xludf.DUMMYFUNCTION("""COMPUTED_VALUE"""),45114.0)</f>
        <v>45114</v>
      </c>
      <c r="K6" s="5" t="str">
        <f>IFERROR(__xludf.DUMMYFUNCTION("""COMPUTED_VALUE"""),"upper-middle-income")</f>
        <v>upper-middle-income</v>
      </c>
      <c r="L6" s="5" t="str">
        <f>IFERROR(__xludf.DUMMYFUNCTION("""COMPUTED_VALUE"""),"Liberia")</f>
        <v>Liberia</v>
      </c>
      <c r="M6" s="5" t="str">
        <f>IFERROR(__xludf.DUMMYFUNCTION("""COMPUTED_VALUE"""),"East Asia &amp; Pacific")</f>
        <v>East Asia &amp; Pacific</v>
      </c>
      <c r="N6" s="5" t="str">
        <f>IFERROR(__xludf.DUMMYFUNCTION("""COMPUTED_VALUE"""),"Asia-Pacific")</f>
        <v>Asia-Pacific</v>
      </c>
      <c r="O6" s="5" t="str">
        <f>IFERROR(__xludf.DUMMYFUNCTION("""COMPUTED_VALUE"""),"developing")</f>
        <v>developing</v>
      </c>
      <c r="P6" s="5"/>
      <c r="Q6" s="5"/>
    </row>
    <row r="7">
      <c r="A7" s="5" t="str">
        <f>IFERROR(__xludf.DUMMYFUNCTION("""COMPUTED_VALUE"""),"Outbound")</f>
        <v>Outbound</v>
      </c>
      <c r="B7" s="5">
        <f>IFERROR(__xludf.DUMMYFUNCTION("""COMPUTED_VALUE"""),1000.0)</f>
        <v>1000</v>
      </c>
      <c r="C7" s="5" t="str">
        <f>IFERROR(__xludf.DUMMYFUNCTION("""COMPUTED_VALUE"""),"LADY MERAL")</f>
        <v>LADY MERAL</v>
      </c>
      <c r="D7" s="5">
        <f>IFERROR(__xludf.DUMMYFUNCTION("""COMPUTED_VALUE"""),9311311.0)</f>
        <v>9311311</v>
      </c>
      <c r="E7" s="5" t="str">
        <f>IFERROR(__xludf.DUMMYFUNCTION("""COMPUTED_VALUE"""),"Chornomorsk")</f>
        <v>Chornomorsk</v>
      </c>
      <c r="F7" s="5" t="str">
        <f>IFERROR(__xludf.DUMMYFUNCTION("""COMPUTED_VALUE"""),"France")</f>
        <v>France</v>
      </c>
      <c r="G7" s="5" t="str">
        <f>IFERROR(__xludf.DUMMYFUNCTION("""COMPUTED_VALUE"""),"Sunflower meal")</f>
        <v>Sunflower meal</v>
      </c>
      <c r="H7" s="6">
        <f>IFERROR(__xludf.DUMMYFUNCTION("""COMPUTED_VALUE"""),22387.0)</f>
        <v>22387</v>
      </c>
      <c r="I7" s="7">
        <f>IFERROR(__xludf.DUMMYFUNCTION("""COMPUTED_VALUE"""),45111.0)</f>
        <v>45111</v>
      </c>
      <c r="J7" s="7">
        <f>IFERROR(__xludf.DUMMYFUNCTION("""COMPUTED_VALUE"""),45115.0)</f>
        <v>45115</v>
      </c>
      <c r="K7" s="5" t="str">
        <f>IFERROR(__xludf.DUMMYFUNCTION("""COMPUTED_VALUE"""),"high-income")</f>
        <v>high-income</v>
      </c>
      <c r="L7" s="5" t="str">
        <f>IFERROR(__xludf.DUMMYFUNCTION("""COMPUTED_VALUE"""),"Panama")</f>
        <v>Panama</v>
      </c>
      <c r="M7" s="5" t="str">
        <f>IFERROR(__xludf.DUMMYFUNCTION("""COMPUTED_VALUE"""),"Europe &amp; Central Asia")</f>
        <v>Europe &amp; Central Asia</v>
      </c>
      <c r="N7" s="5" t="str">
        <f>IFERROR(__xludf.DUMMYFUNCTION("""COMPUTED_VALUE"""),"Western Europe and Others")</f>
        <v>Western Europe and Others</v>
      </c>
      <c r="O7" s="5" t="str">
        <f>IFERROR(__xludf.DUMMYFUNCTION("""COMPUTED_VALUE"""),"developed")</f>
        <v>developed</v>
      </c>
      <c r="P7" s="5"/>
      <c r="Q7" s="5"/>
    </row>
    <row r="8">
      <c r="A8" s="5" t="str">
        <f>IFERROR(__xludf.DUMMYFUNCTION("""COMPUTED_VALUE"""),"Outbound")</f>
        <v>Outbound</v>
      </c>
      <c r="B8" s="5">
        <f>IFERROR(__xludf.DUMMYFUNCTION("""COMPUTED_VALUE"""),999.0)</f>
        <v>999</v>
      </c>
      <c r="C8" s="5" t="str">
        <f>IFERROR(__xludf.DUMMYFUNCTION("""COMPUTED_VALUE"""),"SANTY (WFP)")</f>
        <v>SANTY (WFP)</v>
      </c>
      <c r="D8" s="5">
        <f>IFERROR(__xludf.DUMMYFUNCTION("""COMPUTED_VALUE"""),9233985.0)</f>
        <v>9233985</v>
      </c>
      <c r="E8" s="5" t="str">
        <f>IFERROR(__xludf.DUMMYFUNCTION("""COMPUTED_VALUE"""),"Chornomorsk")</f>
        <v>Chornomorsk</v>
      </c>
      <c r="F8" s="5" t="str">
        <f>IFERROR(__xludf.DUMMYFUNCTION("""COMPUTED_VALUE"""),"Türkiye")</f>
        <v>Türkiye</v>
      </c>
      <c r="G8" s="5" t="str">
        <f>IFERROR(__xludf.DUMMYFUNCTION("""COMPUTED_VALUE"""),"Wheat")</f>
        <v>Wheat</v>
      </c>
      <c r="H8" s="6">
        <f>IFERROR(__xludf.DUMMYFUNCTION("""COMPUTED_VALUE"""),39998.0)</f>
        <v>39998</v>
      </c>
      <c r="I8" s="7">
        <f>IFERROR(__xludf.DUMMYFUNCTION("""COMPUTED_VALUE"""),45110.0)</f>
        <v>45110</v>
      </c>
      <c r="J8" s="7">
        <f>IFERROR(__xludf.DUMMYFUNCTION("""COMPUTED_VALUE"""),45116.0)</f>
        <v>45116</v>
      </c>
      <c r="K8" s="5" t="str">
        <f>IFERROR(__xludf.DUMMYFUNCTION("""COMPUTED_VALUE"""),"upper-middle-income")</f>
        <v>upper-middle-income</v>
      </c>
      <c r="L8" s="5"/>
      <c r="M8" s="5" t="str">
        <f>IFERROR(__xludf.DUMMYFUNCTION("""COMPUTED_VALUE"""),"Europe &amp; Central Asia")</f>
        <v>Europe &amp; Central Asia</v>
      </c>
      <c r="N8" s="5" t="str">
        <f>IFERROR(__xludf.DUMMYFUNCTION("""COMPUTED_VALUE"""),"Asia-Pacific")</f>
        <v>Asia-Pacific</v>
      </c>
      <c r="O8" s="5" t="str">
        <f>IFERROR(__xludf.DUMMYFUNCTION("""COMPUTED_VALUE"""),"developing")</f>
        <v>developing</v>
      </c>
      <c r="P8" s="5" t="str">
        <f>IFERROR(__xludf.DUMMYFUNCTION("""COMPUTED_VALUE"""),"WFP")</f>
        <v>WFP</v>
      </c>
      <c r="Q8" s="5"/>
    </row>
    <row r="9">
      <c r="A9" s="5" t="str">
        <f>IFERROR(__xludf.DUMMYFUNCTION("""COMPUTED_VALUE"""),"Outbound")</f>
        <v>Outbound</v>
      </c>
      <c r="B9" s="5">
        <f>IFERROR(__xludf.DUMMYFUNCTION("""COMPUTED_VALUE"""),998.0)</f>
        <v>998</v>
      </c>
      <c r="C9" s="5" t="str">
        <f>IFERROR(__xludf.DUMMYFUNCTION("""COMPUTED_VALUE"""),"RUBY-T")</f>
        <v>RUBY-T</v>
      </c>
      <c r="D9" s="5">
        <f>IFERROR(__xludf.DUMMYFUNCTION("""COMPUTED_VALUE"""),9457878.0)</f>
        <v>9457878</v>
      </c>
      <c r="E9" s="5" t="str">
        <f>IFERROR(__xludf.DUMMYFUNCTION("""COMPUTED_VALUE"""),"Chornomorsk")</f>
        <v>Chornomorsk</v>
      </c>
      <c r="F9" s="5" t="str">
        <f>IFERROR(__xludf.DUMMYFUNCTION("""COMPUTED_VALUE"""),"Ethiopia")</f>
        <v>Ethiopia</v>
      </c>
      <c r="G9" s="5" t="str">
        <f>IFERROR(__xludf.DUMMYFUNCTION("""COMPUTED_VALUE"""),"Sunflower oil")</f>
        <v>Sunflower oil</v>
      </c>
      <c r="H9" s="6">
        <f>IFERROR(__xludf.DUMMYFUNCTION("""COMPUTED_VALUE"""),20008.0)</f>
        <v>20008</v>
      </c>
      <c r="I9" s="7">
        <f>IFERROR(__xludf.DUMMYFUNCTION("""COMPUTED_VALUE"""),45109.0)</f>
        <v>45109</v>
      </c>
      <c r="J9" s="7">
        <f>IFERROR(__xludf.DUMMYFUNCTION("""COMPUTED_VALUE"""),45113.0)</f>
        <v>45113</v>
      </c>
      <c r="K9" s="5" t="str">
        <f>IFERROR(__xludf.DUMMYFUNCTION("""COMPUTED_VALUE"""),"low-income")</f>
        <v>low-income</v>
      </c>
      <c r="L9" s="5" t="str">
        <f>IFERROR(__xludf.DUMMYFUNCTION("""COMPUTED_VALUE"""),"Malta")</f>
        <v>Malta</v>
      </c>
      <c r="M9" s="5" t="str">
        <f>IFERROR(__xludf.DUMMYFUNCTION("""COMPUTED_VALUE"""),"Sub-Saharan Africa")</f>
        <v>Sub-Saharan Africa</v>
      </c>
      <c r="N9" s="5" t="str">
        <f>IFERROR(__xludf.DUMMYFUNCTION("""COMPUTED_VALUE"""),"Africa")</f>
        <v>Africa</v>
      </c>
      <c r="O9" s="5" t="str">
        <f>IFERROR(__xludf.DUMMYFUNCTION("""COMPUTED_VALUE"""),"developing")</f>
        <v>developing</v>
      </c>
      <c r="P9" s="5"/>
      <c r="Q9" s="5"/>
    </row>
    <row r="10">
      <c r="A10" s="5" t="str">
        <f>IFERROR(__xludf.DUMMYFUNCTION("""COMPUTED_VALUE"""),"Outbound")</f>
        <v>Outbound</v>
      </c>
      <c r="B10" s="5">
        <f>IFERROR(__xludf.DUMMYFUNCTION("""COMPUTED_VALUE"""),997.0)</f>
        <v>997</v>
      </c>
      <c r="C10" s="5" t="str">
        <f>IFERROR(__xludf.DUMMYFUNCTION("""COMPUTED_VALUE"""),"BREEZE")</f>
        <v>BREEZE</v>
      </c>
      <c r="D10" s="5">
        <f>IFERROR(__xludf.DUMMYFUNCTION("""COMPUTED_VALUE"""),9278507.0)</f>
        <v>9278507</v>
      </c>
      <c r="E10" s="5" t="str">
        <f>IFERROR(__xludf.DUMMYFUNCTION("""COMPUTED_VALUE"""),"Chornomorsk")</f>
        <v>Chornomorsk</v>
      </c>
      <c r="F10" s="5" t="str">
        <f>IFERROR(__xludf.DUMMYFUNCTION("""COMPUTED_VALUE"""),"India")</f>
        <v>India</v>
      </c>
      <c r="G10" s="5" t="str">
        <f>IFERROR(__xludf.DUMMYFUNCTION("""COMPUTED_VALUE"""),"Sunflower oil")</f>
        <v>Sunflower oil</v>
      </c>
      <c r="H10" s="6">
        <f>IFERROR(__xludf.DUMMYFUNCTION("""COMPUTED_VALUE"""),43000.0)</f>
        <v>43000</v>
      </c>
      <c r="I10" s="7">
        <f>IFERROR(__xludf.DUMMYFUNCTION("""COMPUTED_VALUE"""),45109.0)</f>
        <v>45109</v>
      </c>
      <c r="J10" s="7">
        <f>IFERROR(__xludf.DUMMYFUNCTION("""COMPUTED_VALUE"""),45113.0)</f>
        <v>45113</v>
      </c>
      <c r="K10" s="5" t="str">
        <f>IFERROR(__xludf.DUMMYFUNCTION("""COMPUTED_VALUE"""),"lower-middle income")</f>
        <v>lower-middle income</v>
      </c>
      <c r="L10" s="5" t="str">
        <f>IFERROR(__xludf.DUMMYFUNCTION("""COMPUTED_VALUE"""),"Tuvalu")</f>
        <v>Tuvalu</v>
      </c>
      <c r="M10" s="5" t="str">
        <f>IFERROR(__xludf.DUMMYFUNCTION("""COMPUTED_VALUE"""),"South Asia")</f>
        <v>South Asia</v>
      </c>
      <c r="N10" s="5" t="str">
        <f>IFERROR(__xludf.DUMMYFUNCTION("""COMPUTED_VALUE"""),"Asia-Pacific")</f>
        <v>Asia-Pacific</v>
      </c>
      <c r="O10" s="5" t="str">
        <f>IFERROR(__xludf.DUMMYFUNCTION("""COMPUTED_VALUE"""),"developing")</f>
        <v>developing</v>
      </c>
      <c r="P10" s="5"/>
      <c r="Q10" s="5"/>
    </row>
    <row r="11">
      <c r="A11" s="5" t="str">
        <f>IFERROR(__xludf.DUMMYFUNCTION("""COMPUTED_VALUE"""),"Outbound")</f>
        <v>Outbound</v>
      </c>
      <c r="B11" s="5">
        <f>IFERROR(__xludf.DUMMYFUNCTION("""COMPUTED_VALUE"""),996.0)</f>
        <v>996</v>
      </c>
      <c r="C11" s="5" t="str">
        <f>IFERROR(__xludf.DUMMYFUNCTION("""COMPUTED_VALUE"""),"CAPTAIN V. MADIAS")</f>
        <v>CAPTAIN V. MADIAS</v>
      </c>
      <c r="D11" s="5">
        <f>IFERROR(__xludf.DUMMYFUNCTION("""COMPUTED_VALUE"""),9617351.0)</f>
        <v>9617351</v>
      </c>
      <c r="E11" s="5" t="str">
        <f>IFERROR(__xludf.DUMMYFUNCTION("""COMPUTED_VALUE"""),"Chornomorsk")</f>
        <v>Chornomorsk</v>
      </c>
      <c r="F11" s="5" t="str">
        <f>IFERROR(__xludf.DUMMYFUNCTION("""COMPUTED_VALUE"""),"China")</f>
        <v>China</v>
      </c>
      <c r="G11" s="5" t="str">
        <f>IFERROR(__xludf.DUMMYFUNCTION("""COMPUTED_VALUE"""),"Sunflower meal")</f>
        <v>Sunflower meal</v>
      </c>
      <c r="H11" s="6">
        <f>IFERROR(__xludf.DUMMYFUNCTION("""COMPUTED_VALUE"""),63319.0)</f>
        <v>63319</v>
      </c>
      <c r="I11" s="7">
        <f>IFERROR(__xludf.DUMMYFUNCTION("""COMPUTED_VALUE"""),45107.0)</f>
        <v>45107</v>
      </c>
      <c r="J11" s="7">
        <f>IFERROR(__xludf.DUMMYFUNCTION("""COMPUTED_VALUE"""),45115.0)</f>
        <v>45115</v>
      </c>
      <c r="K11" s="5" t="str">
        <f>IFERROR(__xludf.DUMMYFUNCTION("""COMPUTED_VALUE"""),"upper-middle-income")</f>
        <v>upper-middle-income</v>
      </c>
      <c r="L11" s="5" t="str">
        <f>IFERROR(__xludf.DUMMYFUNCTION("""COMPUTED_VALUE"""),"Marshall Islands")</f>
        <v>Marshall Islands</v>
      </c>
      <c r="M11" s="5" t="str">
        <f>IFERROR(__xludf.DUMMYFUNCTION("""COMPUTED_VALUE"""),"East Asia &amp; Pacific")</f>
        <v>East Asia &amp; Pacific</v>
      </c>
      <c r="N11" s="5" t="str">
        <f>IFERROR(__xludf.DUMMYFUNCTION("""COMPUTED_VALUE"""),"Asia-Pacific")</f>
        <v>Asia-Pacific</v>
      </c>
      <c r="O11" s="5" t="str">
        <f>IFERROR(__xludf.DUMMYFUNCTION("""COMPUTED_VALUE"""),"developing")</f>
        <v>developing</v>
      </c>
      <c r="P11" s="5"/>
      <c r="Q11" s="5"/>
    </row>
    <row r="12">
      <c r="A12" s="5" t="str">
        <f>IFERROR(__xludf.DUMMYFUNCTION("""COMPUTED_VALUE"""),"Outbound")</f>
        <v>Outbound</v>
      </c>
      <c r="B12" s="5">
        <f>IFERROR(__xludf.DUMMYFUNCTION("""COMPUTED_VALUE"""),995.0)</f>
        <v>995</v>
      </c>
      <c r="C12" s="5" t="str">
        <f>IFERROR(__xludf.DUMMYFUNCTION("""COMPUTED_VALUE"""),"AUSCA 1 ")</f>
        <v>AUSCA 1 </v>
      </c>
      <c r="D12" s="5">
        <f>IFERROR(__xludf.DUMMYFUNCTION("""COMPUTED_VALUE"""),9283655.0)</f>
        <v>9283655</v>
      </c>
      <c r="E12" s="5" t="str">
        <f>IFERROR(__xludf.DUMMYFUNCTION("""COMPUTED_VALUE"""),"Chornomorsk")</f>
        <v>Chornomorsk</v>
      </c>
      <c r="F12" s="5" t="str">
        <f>IFERROR(__xludf.DUMMYFUNCTION("""COMPUTED_VALUE"""),"China")</f>
        <v>China</v>
      </c>
      <c r="G12" s="5" t="str">
        <f>IFERROR(__xludf.DUMMYFUNCTION("""COMPUTED_VALUE"""),"Corn")</f>
        <v>Corn</v>
      </c>
      <c r="H12" s="6">
        <f>IFERROR(__xludf.DUMMYFUNCTION("""COMPUTED_VALUE"""),63405.0)</f>
        <v>63405</v>
      </c>
      <c r="I12" s="7">
        <f>IFERROR(__xludf.DUMMYFUNCTION("""COMPUTED_VALUE"""),45107.0)</f>
        <v>45107</v>
      </c>
      <c r="J12" s="7">
        <f>IFERROR(__xludf.DUMMYFUNCTION("""COMPUTED_VALUE"""),45112.0)</f>
        <v>45112</v>
      </c>
      <c r="K12" s="5" t="str">
        <f>IFERROR(__xludf.DUMMYFUNCTION("""COMPUTED_VALUE"""),"upper-middle-income")</f>
        <v>upper-middle-income</v>
      </c>
      <c r="L12" s="5" t="str">
        <f>IFERROR(__xludf.DUMMYFUNCTION("""COMPUTED_VALUE"""),"China")</f>
        <v>China</v>
      </c>
      <c r="M12" s="5" t="str">
        <f>IFERROR(__xludf.DUMMYFUNCTION("""COMPUTED_VALUE"""),"East Asia &amp; Pacific")</f>
        <v>East Asia &amp; Pacific</v>
      </c>
      <c r="N12" s="5" t="str">
        <f>IFERROR(__xludf.DUMMYFUNCTION("""COMPUTED_VALUE"""),"Asia-Pacific")</f>
        <v>Asia-Pacific</v>
      </c>
      <c r="O12" s="5" t="str">
        <f>IFERROR(__xludf.DUMMYFUNCTION("""COMPUTED_VALUE"""),"developing")</f>
        <v>developing</v>
      </c>
      <c r="P12" s="5"/>
      <c r="Q12" s="5"/>
    </row>
    <row r="13">
      <c r="A13" s="5" t="str">
        <f>IFERROR(__xludf.DUMMYFUNCTION("""COMPUTED_VALUE"""),"Outbound")</f>
        <v>Outbound</v>
      </c>
      <c r="B13" s="5">
        <f>IFERROR(__xludf.DUMMYFUNCTION("""COMPUTED_VALUE"""),994.0)</f>
        <v>994</v>
      </c>
      <c r="C13" s="5" t="str">
        <f>IFERROR(__xludf.DUMMYFUNCTION("""COMPUTED_VALUE"""),"AKDENIZ M (WFP)")</f>
        <v>AKDENIZ M (WFP)</v>
      </c>
      <c r="D13" s="5">
        <f>IFERROR(__xludf.DUMMYFUNCTION("""COMPUTED_VALUE"""),9261047.0)</f>
        <v>9261047</v>
      </c>
      <c r="E13" s="5" t="str">
        <f>IFERROR(__xludf.DUMMYFUNCTION("""COMPUTED_VALUE"""),"Odesa")</f>
        <v>Odesa</v>
      </c>
      <c r="F13" s="5" t="str">
        <f>IFERROR(__xludf.DUMMYFUNCTION("""COMPUTED_VALUE"""),"Türkiye")</f>
        <v>Türkiye</v>
      </c>
      <c r="G13" s="5" t="str">
        <f>IFERROR(__xludf.DUMMYFUNCTION("""COMPUTED_VALUE"""),"Wheat")</f>
        <v>Wheat</v>
      </c>
      <c r="H13" s="6">
        <f>IFERROR(__xludf.DUMMYFUNCTION("""COMPUTED_VALUE"""),30000.0)</f>
        <v>30000</v>
      </c>
      <c r="I13" s="7">
        <f>IFERROR(__xludf.DUMMYFUNCTION("""COMPUTED_VALUE"""),45105.0)</f>
        <v>45105</v>
      </c>
      <c r="J13" s="7">
        <f>IFERROR(__xludf.DUMMYFUNCTION("""COMPUTED_VALUE"""),45111.0)</f>
        <v>45111</v>
      </c>
      <c r="K13" s="5" t="str">
        <f>IFERROR(__xludf.DUMMYFUNCTION("""COMPUTED_VALUE"""),"upper-middle-income")</f>
        <v>upper-middle-income</v>
      </c>
      <c r="L13" s="5" t="str">
        <f>IFERROR(__xludf.DUMMYFUNCTION("""COMPUTED_VALUE"""),"Panama")</f>
        <v>Panama</v>
      </c>
      <c r="M13" s="5" t="str">
        <f>IFERROR(__xludf.DUMMYFUNCTION("""COMPUTED_VALUE"""),"Europe &amp; Central Asia")</f>
        <v>Europe &amp; Central Asia</v>
      </c>
      <c r="N13" s="5" t="str">
        <f>IFERROR(__xludf.DUMMYFUNCTION("""COMPUTED_VALUE"""),"Asia-Pacific")</f>
        <v>Asia-Pacific</v>
      </c>
      <c r="O13" s="5" t="str">
        <f>IFERROR(__xludf.DUMMYFUNCTION("""COMPUTED_VALUE"""),"developing")</f>
        <v>developing</v>
      </c>
      <c r="P13" s="5" t="str">
        <f>IFERROR(__xludf.DUMMYFUNCTION("""COMPUTED_VALUE"""),"WFP")</f>
        <v>WFP</v>
      </c>
      <c r="Q13" s="5"/>
    </row>
    <row r="14">
      <c r="A14" s="5" t="str">
        <f>IFERROR(__xludf.DUMMYFUNCTION("""COMPUTED_VALUE"""),"Outbound")</f>
        <v>Outbound</v>
      </c>
      <c r="B14" s="5">
        <f>IFERROR(__xludf.DUMMYFUNCTION("""COMPUTED_VALUE"""),993.0)</f>
        <v>993</v>
      </c>
      <c r="C14" s="5" t="str">
        <f>IFERROR(__xludf.DUMMYFUNCTION("""COMPUTED_VALUE"""),"AGAPI S")</f>
        <v>AGAPI S</v>
      </c>
      <c r="D14" s="5">
        <f>IFERROR(__xludf.DUMMYFUNCTION("""COMPUTED_VALUE"""),9514822.0)</f>
        <v>9514822</v>
      </c>
      <c r="E14" s="5" t="str">
        <f>IFERROR(__xludf.DUMMYFUNCTION("""COMPUTED_VALUE"""),"Chornomorsk")</f>
        <v>Chornomorsk</v>
      </c>
      <c r="F14" s="5" t="str">
        <f>IFERROR(__xludf.DUMMYFUNCTION("""COMPUTED_VALUE"""),"The Netherlands")</f>
        <v>The Netherlands</v>
      </c>
      <c r="G14" s="5" t="str">
        <f>IFERROR(__xludf.DUMMYFUNCTION("""COMPUTED_VALUE"""),"Corn")</f>
        <v>Corn</v>
      </c>
      <c r="H14" s="6">
        <f>IFERROR(__xludf.DUMMYFUNCTION("""COMPUTED_VALUE"""),55880.0)</f>
        <v>55880</v>
      </c>
      <c r="I14" s="7">
        <f>IFERROR(__xludf.DUMMYFUNCTION("""COMPUTED_VALUE"""),45103.0)</f>
        <v>45103</v>
      </c>
      <c r="J14" s="7">
        <f>IFERROR(__xludf.DUMMYFUNCTION("""COMPUTED_VALUE"""),45109.0)</f>
        <v>45109</v>
      </c>
      <c r="K14" s="5" t="str">
        <f>IFERROR(__xludf.DUMMYFUNCTION("""COMPUTED_VALUE"""),"high-income")</f>
        <v>high-income</v>
      </c>
      <c r="L14" s="5" t="str">
        <f>IFERROR(__xludf.DUMMYFUNCTION("""COMPUTED_VALUE"""),"Liberia")</f>
        <v>Liberia</v>
      </c>
      <c r="M14" s="5" t="str">
        <f>IFERROR(__xludf.DUMMYFUNCTION("""COMPUTED_VALUE"""),"Europe &amp; Central Asia")</f>
        <v>Europe &amp; Central Asia</v>
      </c>
      <c r="N14" s="5" t="str">
        <f>IFERROR(__xludf.DUMMYFUNCTION("""COMPUTED_VALUE"""),"Western Europe and Others")</f>
        <v>Western Europe and Others</v>
      </c>
      <c r="O14" s="5" t="str">
        <f>IFERROR(__xludf.DUMMYFUNCTION("""COMPUTED_VALUE"""),"developed")</f>
        <v>developed</v>
      </c>
      <c r="P14" s="5"/>
      <c r="Q14" s="5"/>
    </row>
    <row r="15">
      <c r="A15" s="5" t="str">
        <f>IFERROR(__xludf.DUMMYFUNCTION("""COMPUTED_VALUE"""),"Outbound")</f>
        <v>Outbound</v>
      </c>
      <c r="B15" s="5">
        <f>IFERROR(__xludf.DUMMYFUNCTION("""COMPUTED_VALUE"""),992.0)</f>
        <v>992</v>
      </c>
      <c r="C15" s="5" t="str">
        <f>IFERROR(__xludf.DUMMYFUNCTION("""COMPUTED_VALUE"""),"SSI CHALLENGER")</f>
        <v>SSI CHALLENGER</v>
      </c>
      <c r="D15" s="5">
        <f>IFERROR(__xludf.DUMMYFUNCTION("""COMPUTED_VALUE"""),9284300.0)</f>
        <v>9284300</v>
      </c>
      <c r="E15" s="5" t="str">
        <f>IFERROR(__xludf.DUMMYFUNCTION("""COMPUTED_VALUE"""),"Chornomorsk")</f>
        <v>Chornomorsk</v>
      </c>
      <c r="F15" s="5" t="str">
        <f>IFERROR(__xludf.DUMMYFUNCTION("""COMPUTED_VALUE"""),"Indonesia")</f>
        <v>Indonesia</v>
      </c>
      <c r="G15" s="5" t="str">
        <f>IFERROR(__xludf.DUMMYFUNCTION("""COMPUTED_VALUE"""),"Wheat")</f>
        <v>Wheat</v>
      </c>
      <c r="H15" s="6">
        <f>IFERROR(__xludf.DUMMYFUNCTION("""COMPUTED_VALUE"""),50450.0)</f>
        <v>50450</v>
      </c>
      <c r="I15" s="7">
        <f>IFERROR(__xludf.DUMMYFUNCTION("""COMPUTED_VALUE"""),45102.0)</f>
        <v>45102</v>
      </c>
      <c r="J15" s="7">
        <f>IFERROR(__xludf.DUMMYFUNCTION("""COMPUTED_VALUE"""),45107.0)</f>
        <v>45107</v>
      </c>
      <c r="K15" s="5" t="str">
        <f>IFERROR(__xludf.DUMMYFUNCTION("""COMPUTED_VALUE"""),"lower-middle income")</f>
        <v>lower-middle income</v>
      </c>
      <c r="L15" s="5" t="str">
        <f>IFERROR(__xludf.DUMMYFUNCTION("""COMPUTED_VALUE"""),"Marshall Islands")</f>
        <v>Marshall Islands</v>
      </c>
      <c r="M15" s="5" t="str">
        <f>IFERROR(__xludf.DUMMYFUNCTION("""COMPUTED_VALUE"""),"East Asia &amp; Pacific")</f>
        <v>East Asia &amp; Pacific</v>
      </c>
      <c r="N15" s="5" t="str">
        <f>IFERROR(__xludf.DUMMYFUNCTION("""COMPUTED_VALUE"""),"Asia-Pacific")</f>
        <v>Asia-Pacific</v>
      </c>
      <c r="O15" s="5" t="str">
        <f>IFERROR(__xludf.DUMMYFUNCTION("""COMPUTED_VALUE"""),"developing")</f>
        <v>developing</v>
      </c>
      <c r="P15" s="5"/>
      <c r="Q15" s="5"/>
    </row>
    <row r="16">
      <c r="A16" s="5" t="str">
        <f>IFERROR(__xludf.DUMMYFUNCTION("""COMPUTED_VALUE"""),"Outbound")</f>
        <v>Outbound</v>
      </c>
      <c r="B16" s="5">
        <f>IFERROR(__xludf.DUMMYFUNCTION("""COMPUTED_VALUE"""),991.0)</f>
        <v>991</v>
      </c>
      <c r="C16" s="5" t="str">
        <f>IFERROR(__xludf.DUMMYFUNCTION("""COMPUTED_VALUE"""),"STAR SAPPHIRE")</f>
        <v>STAR SAPPHIRE</v>
      </c>
      <c r="D16" s="5">
        <f>IFERROR(__xludf.DUMMYFUNCTION("""COMPUTED_VALUE"""),9860037.0)</f>
        <v>9860037</v>
      </c>
      <c r="E16" s="5" t="str">
        <f>IFERROR(__xludf.DUMMYFUNCTION("""COMPUTED_VALUE"""),"Odesa")</f>
        <v>Odesa</v>
      </c>
      <c r="F16" s="5" t="str">
        <f>IFERROR(__xludf.DUMMYFUNCTION("""COMPUTED_VALUE"""),"China")</f>
        <v>China</v>
      </c>
      <c r="G16" s="5" t="str">
        <f>IFERROR(__xludf.DUMMYFUNCTION("""COMPUTED_VALUE"""),"Corn")</f>
        <v>Corn</v>
      </c>
      <c r="H16" s="6">
        <f>IFERROR(__xludf.DUMMYFUNCTION("""COMPUTED_VALUE"""),67136.0)</f>
        <v>67136</v>
      </c>
      <c r="I16" s="7">
        <f>IFERROR(__xludf.DUMMYFUNCTION("""COMPUTED_VALUE"""),45100.0)</f>
        <v>45100</v>
      </c>
      <c r="J16" s="7">
        <f>IFERROR(__xludf.DUMMYFUNCTION("""COMPUTED_VALUE"""),45106.0)</f>
        <v>45106</v>
      </c>
      <c r="K16" s="5" t="str">
        <f>IFERROR(__xludf.DUMMYFUNCTION("""COMPUTED_VALUE"""),"upper-middle-income")</f>
        <v>upper-middle-income</v>
      </c>
      <c r="L16" s="5" t="str">
        <f>IFERROR(__xludf.DUMMYFUNCTION("""COMPUTED_VALUE"""),"Marshall Islands")</f>
        <v>Marshall Islands</v>
      </c>
      <c r="M16" s="5" t="str">
        <f>IFERROR(__xludf.DUMMYFUNCTION("""COMPUTED_VALUE"""),"East Asia &amp; Pacific")</f>
        <v>East Asia &amp; Pacific</v>
      </c>
      <c r="N16" s="5" t="str">
        <f>IFERROR(__xludf.DUMMYFUNCTION("""COMPUTED_VALUE"""),"Asia-Pacific")</f>
        <v>Asia-Pacific</v>
      </c>
      <c r="O16" s="5" t="str">
        <f>IFERROR(__xludf.DUMMYFUNCTION("""COMPUTED_VALUE"""),"developing")</f>
        <v>developing</v>
      </c>
      <c r="P16" s="5"/>
      <c r="Q16" s="5"/>
    </row>
    <row r="17">
      <c r="A17" s="5" t="str">
        <f>IFERROR(__xludf.DUMMYFUNCTION("""COMPUTED_VALUE"""),"Outbound")</f>
        <v>Outbound</v>
      </c>
      <c r="B17" s="5">
        <f>IFERROR(__xludf.DUMMYFUNCTION("""COMPUTED_VALUE"""),990.0)</f>
        <v>990</v>
      </c>
      <c r="C17" s="5" t="str">
        <f>IFERROR(__xludf.DUMMYFUNCTION("""COMPUTED_VALUE"""),"ANTHOS")</f>
        <v>ANTHOS</v>
      </c>
      <c r="D17" s="5">
        <f>IFERROR(__xludf.DUMMYFUNCTION("""COMPUTED_VALUE"""),9217656.0)</f>
        <v>9217656</v>
      </c>
      <c r="E17" s="5" t="str">
        <f>IFERROR(__xludf.DUMMYFUNCTION("""COMPUTED_VALUE"""),"Chornomorsk")</f>
        <v>Chornomorsk</v>
      </c>
      <c r="F17" s="5" t="str">
        <f>IFERROR(__xludf.DUMMYFUNCTION("""COMPUTED_VALUE"""),"The Netherlands")</f>
        <v>The Netherlands</v>
      </c>
      <c r="G17" s="5" t="str">
        <f>IFERROR(__xludf.DUMMYFUNCTION("""COMPUTED_VALUE"""),"Corn")</f>
        <v>Corn</v>
      </c>
      <c r="H17" s="6">
        <f>IFERROR(__xludf.DUMMYFUNCTION("""COMPUTED_VALUE"""),62720.0)</f>
        <v>62720</v>
      </c>
      <c r="I17" s="7">
        <f>IFERROR(__xludf.DUMMYFUNCTION("""COMPUTED_VALUE"""),45100.0)</f>
        <v>45100</v>
      </c>
      <c r="J17" s="7">
        <f>IFERROR(__xludf.DUMMYFUNCTION("""COMPUTED_VALUE"""),45107.0)</f>
        <v>45107</v>
      </c>
      <c r="K17" s="5" t="str">
        <f>IFERROR(__xludf.DUMMYFUNCTION("""COMPUTED_VALUE"""),"high-income")</f>
        <v>high-income</v>
      </c>
      <c r="L17" s="5" t="str">
        <f>IFERROR(__xludf.DUMMYFUNCTION("""COMPUTED_VALUE"""),"Marshall Islands")</f>
        <v>Marshall Islands</v>
      </c>
      <c r="M17" s="5" t="str">
        <f>IFERROR(__xludf.DUMMYFUNCTION("""COMPUTED_VALUE"""),"Europe &amp; Central Asia")</f>
        <v>Europe &amp; Central Asia</v>
      </c>
      <c r="N17" s="5" t="str">
        <f>IFERROR(__xludf.DUMMYFUNCTION("""COMPUTED_VALUE"""),"Western Europe and Others")</f>
        <v>Western Europe and Others</v>
      </c>
      <c r="O17" s="5" t="str">
        <f>IFERROR(__xludf.DUMMYFUNCTION("""COMPUTED_VALUE"""),"developed")</f>
        <v>developed</v>
      </c>
      <c r="P17" s="5"/>
      <c r="Q17" s="5"/>
    </row>
    <row r="18">
      <c r="A18" s="5" t="str">
        <f>IFERROR(__xludf.DUMMYFUNCTION("""COMPUTED_VALUE"""),"Outbound")</f>
        <v>Outbound</v>
      </c>
      <c r="B18" s="5">
        <f>IFERROR(__xludf.DUMMYFUNCTION("""COMPUTED_VALUE"""),989.0)</f>
        <v>989</v>
      </c>
      <c r="C18" s="5" t="str">
        <f>IFERROR(__xludf.DUMMYFUNCTION("""COMPUTED_VALUE"""),"KARTERIA")</f>
        <v>KARTERIA</v>
      </c>
      <c r="D18" s="5">
        <f>IFERROR(__xludf.DUMMYFUNCTION("""COMPUTED_VALUE"""),9236092.0)</f>
        <v>9236092</v>
      </c>
      <c r="E18" s="5" t="str">
        <f>IFERROR(__xludf.DUMMYFUNCTION("""COMPUTED_VALUE"""),"Chornomorsk")</f>
        <v>Chornomorsk</v>
      </c>
      <c r="F18" s="5" t="str">
        <f>IFERROR(__xludf.DUMMYFUNCTION("""COMPUTED_VALUE"""),"Spain")</f>
        <v>Spain</v>
      </c>
      <c r="G18" s="5" t="str">
        <f>IFERROR(__xludf.DUMMYFUNCTION("""COMPUTED_VALUE"""),"Corn")</f>
        <v>Corn</v>
      </c>
      <c r="H18" s="6">
        <f>IFERROR(__xludf.DUMMYFUNCTION("""COMPUTED_VALUE"""),45185.0)</f>
        <v>45185</v>
      </c>
      <c r="I18" s="7">
        <f>IFERROR(__xludf.DUMMYFUNCTION("""COMPUTED_VALUE"""),45099.0)</f>
        <v>45099</v>
      </c>
      <c r="J18" s="7">
        <f>IFERROR(__xludf.DUMMYFUNCTION("""COMPUTED_VALUE"""),45106.0)</f>
        <v>45106</v>
      </c>
      <c r="K18" s="5" t="str">
        <f>IFERROR(__xludf.DUMMYFUNCTION("""COMPUTED_VALUE"""),"high-income")</f>
        <v>high-income</v>
      </c>
      <c r="L18" s="5" t="str">
        <f>IFERROR(__xludf.DUMMYFUNCTION("""COMPUTED_VALUE"""),"Malta")</f>
        <v>Malta</v>
      </c>
      <c r="M18" s="5" t="str">
        <f>IFERROR(__xludf.DUMMYFUNCTION("""COMPUTED_VALUE"""),"Europe &amp; Central Asia")</f>
        <v>Europe &amp; Central Asia</v>
      </c>
      <c r="N18" s="5" t="str">
        <f>IFERROR(__xludf.DUMMYFUNCTION("""COMPUTED_VALUE"""),"Western Europe and Others")</f>
        <v>Western Europe and Others</v>
      </c>
      <c r="O18" s="5" t="str">
        <f>IFERROR(__xludf.DUMMYFUNCTION("""COMPUTED_VALUE"""),"developed")</f>
        <v>developed</v>
      </c>
      <c r="P18" s="5"/>
      <c r="Q18" s="5"/>
    </row>
    <row r="19">
      <c r="A19" s="5" t="str">
        <f>IFERROR(__xludf.DUMMYFUNCTION("""COMPUTED_VALUE"""),"Outbound")</f>
        <v>Outbound</v>
      </c>
      <c r="B19" s="5">
        <f>IFERROR(__xludf.DUMMYFUNCTION("""COMPUTED_VALUE"""),988.0)</f>
        <v>988</v>
      </c>
      <c r="C19" s="5" t="str">
        <f>IFERROR(__xludf.DUMMYFUNCTION("""COMPUTED_VALUE"""),"CAPTAIN J. NEOFOTISTOS")</f>
        <v>CAPTAIN J. NEOFOTISTOS</v>
      </c>
      <c r="D19" s="5">
        <f>IFERROR(__xludf.DUMMYFUNCTION("""COMPUTED_VALUE"""),9617430.0)</f>
        <v>9617430</v>
      </c>
      <c r="E19" s="5" t="str">
        <f>IFERROR(__xludf.DUMMYFUNCTION("""COMPUTED_VALUE"""),"Chornomorsk")</f>
        <v>Chornomorsk</v>
      </c>
      <c r="F19" s="5" t="str">
        <f>IFERROR(__xludf.DUMMYFUNCTION("""COMPUTED_VALUE"""),"Spain")</f>
        <v>Spain</v>
      </c>
      <c r="G19" s="5" t="str">
        <f>IFERROR(__xludf.DUMMYFUNCTION("""COMPUTED_VALUE"""),"Corn")</f>
        <v>Corn</v>
      </c>
      <c r="H19" s="6">
        <f>IFERROR(__xludf.DUMMYFUNCTION("""COMPUTED_VALUE"""),68600.0)</f>
        <v>68600</v>
      </c>
      <c r="I19" s="7">
        <f>IFERROR(__xludf.DUMMYFUNCTION("""COMPUTED_VALUE"""),45099.0)</f>
        <v>45099</v>
      </c>
      <c r="J19" s="7">
        <f>IFERROR(__xludf.DUMMYFUNCTION("""COMPUTED_VALUE"""),45111.0)</f>
        <v>45111</v>
      </c>
      <c r="K19" s="5" t="str">
        <f>IFERROR(__xludf.DUMMYFUNCTION("""COMPUTED_VALUE"""),"high-income")</f>
        <v>high-income</v>
      </c>
      <c r="L19" s="5" t="str">
        <f>IFERROR(__xludf.DUMMYFUNCTION("""COMPUTED_VALUE"""),"Liberia")</f>
        <v>Liberia</v>
      </c>
      <c r="M19" s="5" t="str">
        <f>IFERROR(__xludf.DUMMYFUNCTION("""COMPUTED_VALUE"""),"Europe &amp; Central Asia")</f>
        <v>Europe &amp; Central Asia</v>
      </c>
      <c r="N19" s="5" t="str">
        <f>IFERROR(__xludf.DUMMYFUNCTION("""COMPUTED_VALUE"""),"Western Europe and Others")</f>
        <v>Western Europe and Others</v>
      </c>
      <c r="O19" s="5" t="str">
        <f>IFERROR(__xludf.DUMMYFUNCTION("""COMPUTED_VALUE"""),"developed")</f>
        <v>developed</v>
      </c>
      <c r="P19" s="5"/>
      <c r="Q19" s="5"/>
    </row>
    <row r="20">
      <c r="A20" s="5" t="str">
        <f>IFERROR(__xludf.DUMMYFUNCTION("""COMPUTED_VALUE"""),"Outbound")</f>
        <v>Outbound</v>
      </c>
      <c r="B20" s="5">
        <f>IFERROR(__xludf.DUMMYFUNCTION("""COMPUTED_VALUE"""),987.0)</f>
        <v>987</v>
      </c>
      <c r="C20" s="5" t="str">
        <f>IFERROR(__xludf.DUMMYFUNCTION("""COMPUTED_VALUE"""),"WADI ALARAB")</f>
        <v>WADI ALARAB</v>
      </c>
      <c r="D20" s="5">
        <f>IFERROR(__xludf.DUMMYFUNCTION("""COMPUTED_VALUE"""),9107681.0)</f>
        <v>9107681</v>
      </c>
      <c r="E20" s="5" t="str">
        <f>IFERROR(__xludf.DUMMYFUNCTION("""COMPUTED_VALUE"""),"Chornomorsk")</f>
        <v>Chornomorsk</v>
      </c>
      <c r="F20" s="5" t="str">
        <f>IFERROR(__xludf.DUMMYFUNCTION("""COMPUTED_VALUE"""),"Egypt")</f>
        <v>Egypt</v>
      </c>
      <c r="G20" s="5" t="str">
        <f>IFERROR(__xludf.DUMMYFUNCTION("""COMPUTED_VALUE"""),"Wheat")</f>
        <v>Wheat</v>
      </c>
      <c r="H20" s="6">
        <f>IFERROR(__xludf.DUMMYFUNCTION("""COMPUTED_VALUE"""),63000.0)</f>
        <v>63000</v>
      </c>
      <c r="I20" s="7">
        <f>IFERROR(__xludf.DUMMYFUNCTION("""COMPUTED_VALUE"""),45096.0)</f>
        <v>45096</v>
      </c>
      <c r="J20" s="7">
        <f>IFERROR(__xludf.DUMMYFUNCTION("""COMPUTED_VALUE"""),45104.0)</f>
        <v>45104</v>
      </c>
      <c r="K20" s="5" t="str">
        <f>IFERROR(__xludf.DUMMYFUNCTION("""COMPUTED_VALUE"""),"lower-middle income")</f>
        <v>lower-middle income</v>
      </c>
      <c r="L20" s="5" t="str">
        <f>IFERROR(__xludf.DUMMYFUNCTION("""COMPUTED_VALUE"""),"Egypt")</f>
        <v>Egypt</v>
      </c>
      <c r="M20" s="5" t="str">
        <f>IFERROR(__xludf.DUMMYFUNCTION("""COMPUTED_VALUE"""),"Middle East &amp; North Africa")</f>
        <v>Middle East &amp; North Africa</v>
      </c>
      <c r="N20" s="5" t="str">
        <f>IFERROR(__xludf.DUMMYFUNCTION("""COMPUTED_VALUE"""),"Africa")</f>
        <v>Africa</v>
      </c>
      <c r="O20" s="5" t="str">
        <f>IFERROR(__xludf.DUMMYFUNCTION("""COMPUTED_VALUE"""),"developing")</f>
        <v>developing</v>
      </c>
      <c r="P20" s="5"/>
      <c r="Q20" s="5"/>
    </row>
    <row r="21">
      <c r="A21" s="5" t="str">
        <f>IFERROR(__xludf.DUMMYFUNCTION("""COMPUTED_VALUE"""),"Outbound")</f>
        <v>Outbound</v>
      </c>
      <c r="B21" s="5">
        <f>IFERROR(__xludf.DUMMYFUNCTION("""COMPUTED_VALUE"""),986.0)</f>
        <v>986</v>
      </c>
      <c r="C21" s="5" t="str">
        <f>IFERROR(__xludf.DUMMYFUNCTION("""COMPUTED_VALUE"""),"GENEVE")</f>
        <v>GENEVE</v>
      </c>
      <c r="D21" s="5">
        <f>IFERROR(__xludf.DUMMYFUNCTION("""COMPUTED_VALUE"""),9442926.0)</f>
        <v>9442926</v>
      </c>
      <c r="E21" s="5" t="str">
        <f>IFERROR(__xludf.DUMMYFUNCTION("""COMPUTED_VALUE"""),"Chornomorsk")</f>
        <v>Chornomorsk</v>
      </c>
      <c r="F21" s="5" t="str">
        <f>IFERROR(__xludf.DUMMYFUNCTION("""COMPUTED_VALUE"""),"China")</f>
        <v>China</v>
      </c>
      <c r="G21" s="5" t="str">
        <f>IFERROR(__xludf.DUMMYFUNCTION("""COMPUTED_VALUE"""),"Corn")</f>
        <v>Corn</v>
      </c>
      <c r="H21" s="6">
        <f>IFERROR(__xludf.DUMMYFUNCTION("""COMPUTED_VALUE"""),62300.0)</f>
        <v>62300</v>
      </c>
      <c r="I21" s="7">
        <f>IFERROR(__xludf.DUMMYFUNCTION("""COMPUTED_VALUE"""),45095.0)</f>
        <v>45095</v>
      </c>
      <c r="J21" s="7">
        <f>IFERROR(__xludf.DUMMYFUNCTION("""COMPUTED_VALUE"""),45106.0)</f>
        <v>45106</v>
      </c>
      <c r="K21" s="5" t="str">
        <f>IFERROR(__xludf.DUMMYFUNCTION("""COMPUTED_VALUE"""),"upper-middle-income")</f>
        <v>upper-middle-income</v>
      </c>
      <c r="L21" s="5" t="str">
        <f>IFERROR(__xludf.DUMMYFUNCTION("""COMPUTED_VALUE"""),"Marshall Islands")</f>
        <v>Marshall Islands</v>
      </c>
      <c r="M21" s="5" t="str">
        <f>IFERROR(__xludf.DUMMYFUNCTION("""COMPUTED_VALUE"""),"East Asia &amp; Pacific")</f>
        <v>East Asia &amp; Pacific</v>
      </c>
      <c r="N21" s="5" t="str">
        <f>IFERROR(__xludf.DUMMYFUNCTION("""COMPUTED_VALUE"""),"Asia-Pacific")</f>
        <v>Asia-Pacific</v>
      </c>
      <c r="O21" s="5" t="str">
        <f>IFERROR(__xludf.DUMMYFUNCTION("""COMPUTED_VALUE"""),"developing")</f>
        <v>developing</v>
      </c>
      <c r="P21" s="5"/>
      <c r="Q21" s="5"/>
    </row>
    <row r="22">
      <c r="A22" s="5" t="str">
        <f>IFERROR(__xludf.DUMMYFUNCTION("""COMPUTED_VALUE"""),"Outbound")</f>
        <v>Outbound</v>
      </c>
      <c r="B22" s="5">
        <f>IFERROR(__xludf.DUMMYFUNCTION("""COMPUTED_VALUE"""),985.0)</f>
        <v>985</v>
      </c>
      <c r="C22" s="5" t="str">
        <f>IFERROR(__xludf.DUMMYFUNCTION("""COMPUTED_VALUE"""),"MANTA HACER (WFP)")</f>
        <v>MANTA HACER (WFP)</v>
      </c>
      <c r="D22" s="5">
        <f>IFERROR(__xludf.DUMMYFUNCTION("""COMPUTED_VALUE"""),9303429.0)</f>
        <v>9303429</v>
      </c>
      <c r="E22" s="5" t="str">
        <f>IFERROR(__xludf.DUMMYFUNCTION("""COMPUTED_VALUE"""),"Odesa")</f>
        <v>Odesa</v>
      </c>
      <c r="F22" s="5" t="str">
        <f>IFERROR(__xludf.DUMMYFUNCTION("""COMPUTED_VALUE"""),"Türkiye")</f>
        <v>Türkiye</v>
      </c>
      <c r="G22" s="5" t="str">
        <f>IFERROR(__xludf.DUMMYFUNCTION("""COMPUTED_VALUE"""),"Wheat")</f>
        <v>Wheat</v>
      </c>
      <c r="H22" s="6">
        <f>IFERROR(__xludf.DUMMYFUNCTION("""COMPUTED_VALUE"""),30000.0)</f>
        <v>30000</v>
      </c>
      <c r="I22" s="7">
        <f>IFERROR(__xludf.DUMMYFUNCTION("""COMPUTED_VALUE"""),45093.0)</f>
        <v>45093</v>
      </c>
      <c r="J22" s="7">
        <f>IFERROR(__xludf.DUMMYFUNCTION("""COMPUTED_VALUE"""),45099.0)</f>
        <v>45099</v>
      </c>
      <c r="K22" s="5" t="str">
        <f>IFERROR(__xludf.DUMMYFUNCTION("""COMPUTED_VALUE"""),"upper-middle-income")</f>
        <v>upper-middle-income</v>
      </c>
      <c r="L22" s="5" t="str">
        <f>IFERROR(__xludf.DUMMYFUNCTION("""COMPUTED_VALUE"""),"Marshall Islands")</f>
        <v>Marshall Islands</v>
      </c>
      <c r="M22" s="5" t="str">
        <f>IFERROR(__xludf.DUMMYFUNCTION("""COMPUTED_VALUE"""),"Europe &amp; Central Asia")</f>
        <v>Europe &amp; Central Asia</v>
      </c>
      <c r="N22" s="5" t="str">
        <f>IFERROR(__xludf.DUMMYFUNCTION("""COMPUTED_VALUE"""),"Asia-Pacific")</f>
        <v>Asia-Pacific</v>
      </c>
      <c r="O22" s="5" t="str">
        <f>IFERROR(__xludf.DUMMYFUNCTION("""COMPUTED_VALUE"""),"developing")</f>
        <v>developing</v>
      </c>
      <c r="P22" s="5" t="str">
        <f>IFERROR(__xludf.DUMMYFUNCTION("""COMPUTED_VALUE"""),"WFP")</f>
        <v>WFP</v>
      </c>
      <c r="Q22" s="5"/>
    </row>
    <row r="23">
      <c r="A23" s="5" t="str">
        <f>IFERROR(__xludf.DUMMYFUNCTION("""COMPUTED_VALUE"""),"Outbound")</f>
        <v>Outbound</v>
      </c>
      <c r="B23" s="5">
        <f>IFERROR(__xludf.DUMMYFUNCTION("""COMPUTED_VALUE"""),984.0)</f>
        <v>984</v>
      </c>
      <c r="C23" s="5" t="str">
        <f>IFERROR(__xludf.DUMMYFUNCTION("""COMPUTED_VALUE"""),"NAVIOS SAGITTARIUS")</f>
        <v>NAVIOS SAGITTARIUS</v>
      </c>
      <c r="D23" s="5">
        <f>IFERROR(__xludf.DUMMYFUNCTION("""COMPUTED_VALUE"""),9316866.0)</f>
        <v>9316866</v>
      </c>
      <c r="E23" s="5" t="str">
        <f>IFERROR(__xludf.DUMMYFUNCTION("""COMPUTED_VALUE"""),"Chornomorsk")</f>
        <v>Chornomorsk</v>
      </c>
      <c r="F23" s="5" t="str">
        <f>IFERROR(__xludf.DUMMYFUNCTION("""COMPUTED_VALUE"""),"Spain")</f>
        <v>Spain</v>
      </c>
      <c r="G23" s="5" t="str">
        <f>IFERROR(__xludf.DUMMYFUNCTION("""COMPUTED_VALUE"""),"Corn")</f>
        <v>Corn</v>
      </c>
      <c r="H23" s="6">
        <f>IFERROR(__xludf.DUMMYFUNCTION("""COMPUTED_VALUE"""),64222.0)</f>
        <v>64222</v>
      </c>
      <c r="I23" s="7">
        <f>IFERROR(__xludf.DUMMYFUNCTION("""COMPUTED_VALUE"""),45092.0)</f>
        <v>45092</v>
      </c>
      <c r="J23" s="7">
        <f>IFERROR(__xludf.DUMMYFUNCTION("""COMPUTED_VALUE"""),45104.0)</f>
        <v>45104</v>
      </c>
      <c r="K23" s="5" t="str">
        <f>IFERROR(__xludf.DUMMYFUNCTION("""COMPUTED_VALUE"""),"high-income")</f>
        <v>high-income</v>
      </c>
      <c r="L23" s="5" t="str">
        <f>IFERROR(__xludf.DUMMYFUNCTION("""COMPUTED_VALUE"""),"Panama")</f>
        <v>Panama</v>
      </c>
      <c r="M23" s="5" t="str">
        <f>IFERROR(__xludf.DUMMYFUNCTION("""COMPUTED_VALUE"""),"Europe &amp; Central Asia")</f>
        <v>Europe &amp; Central Asia</v>
      </c>
      <c r="N23" s="5" t="str">
        <f>IFERROR(__xludf.DUMMYFUNCTION("""COMPUTED_VALUE"""),"Western Europe and Others")</f>
        <v>Western Europe and Others</v>
      </c>
      <c r="O23" s="5" t="str">
        <f>IFERROR(__xludf.DUMMYFUNCTION("""COMPUTED_VALUE"""),"developed")</f>
        <v>developed</v>
      </c>
      <c r="P23" s="5"/>
      <c r="Q23" s="5"/>
    </row>
    <row r="24">
      <c r="A24" s="5" t="str">
        <f>IFERROR(__xludf.DUMMYFUNCTION("""COMPUTED_VALUE"""),"Outbound")</f>
        <v>Outbound</v>
      </c>
      <c r="B24" s="5">
        <f>IFERROR(__xludf.DUMMYFUNCTION("""COMPUTED_VALUE"""),983.0)</f>
        <v>983</v>
      </c>
      <c r="C24" s="5" t="str">
        <f>IFERROR(__xludf.DUMMYFUNCTION("""COMPUTED_VALUE"""),"KEREM")</f>
        <v>KEREM</v>
      </c>
      <c r="D24" s="5">
        <f>IFERROR(__xludf.DUMMYFUNCTION("""COMPUTED_VALUE"""),9126429.0)</f>
        <v>9126429</v>
      </c>
      <c r="E24" s="5" t="str">
        <f>IFERROR(__xludf.DUMMYFUNCTION("""COMPUTED_VALUE"""),"Odesa")</f>
        <v>Odesa</v>
      </c>
      <c r="F24" s="5" t="str">
        <f>IFERROR(__xludf.DUMMYFUNCTION("""COMPUTED_VALUE"""),"Spain")</f>
        <v>Spain</v>
      </c>
      <c r="G24" s="5" t="str">
        <f>IFERROR(__xludf.DUMMYFUNCTION("""COMPUTED_VALUE"""),"Corn")</f>
        <v>Corn</v>
      </c>
      <c r="H24" s="6">
        <f>IFERROR(__xludf.DUMMYFUNCTION("""COMPUTED_VALUE"""),27295.0)</f>
        <v>27295</v>
      </c>
      <c r="I24" s="7">
        <f>IFERROR(__xludf.DUMMYFUNCTION("""COMPUTED_VALUE"""),45092.0)</f>
        <v>45092</v>
      </c>
      <c r="J24" s="7">
        <f>IFERROR(__xludf.DUMMYFUNCTION("""COMPUTED_VALUE"""),45102.0)</f>
        <v>45102</v>
      </c>
      <c r="K24" s="5" t="str">
        <f>IFERROR(__xludf.DUMMYFUNCTION("""COMPUTED_VALUE"""),"high-income")</f>
        <v>high-income</v>
      </c>
      <c r="L24" s="5" t="str">
        <f>IFERROR(__xludf.DUMMYFUNCTION("""COMPUTED_VALUE"""),"Malta")</f>
        <v>Malta</v>
      </c>
      <c r="M24" s="5" t="str">
        <f>IFERROR(__xludf.DUMMYFUNCTION("""COMPUTED_VALUE"""),"Europe &amp; Central Asia")</f>
        <v>Europe &amp; Central Asia</v>
      </c>
      <c r="N24" s="5" t="str">
        <f>IFERROR(__xludf.DUMMYFUNCTION("""COMPUTED_VALUE"""),"Western Europe and Others")</f>
        <v>Western Europe and Others</v>
      </c>
      <c r="O24" s="5" t="str">
        <f>IFERROR(__xludf.DUMMYFUNCTION("""COMPUTED_VALUE"""),"developed")</f>
        <v>developed</v>
      </c>
      <c r="P24" s="5"/>
      <c r="Q24" s="5"/>
    </row>
    <row r="25">
      <c r="A25" s="5" t="str">
        <f>IFERROR(__xludf.DUMMYFUNCTION("""COMPUTED_VALUE"""),"Outbound")</f>
        <v>Outbound</v>
      </c>
      <c r="B25" s="5">
        <f>IFERROR(__xludf.DUMMYFUNCTION("""COMPUTED_VALUE"""),982.0)</f>
        <v>982</v>
      </c>
      <c r="C25" s="5" t="str">
        <f>IFERROR(__xludf.DUMMYFUNCTION("""COMPUTED_VALUE"""),"ANDROS SPIRIT ")</f>
        <v>ANDROS SPIRIT </v>
      </c>
      <c r="D25" s="5">
        <f>IFERROR(__xludf.DUMMYFUNCTION("""COMPUTED_VALUE"""),9592537.0)</f>
        <v>9592537</v>
      </c>
      <c r="E25" s="5" t="str">
        <f>IFERROR(__xludf.DUMMYFUNCTION("""COMPUTED_VALUE"""),"Odesa")</f>
        <v>Odesa</v>
      </c>
      <c r="F25" s="5" t="str">
        <f>IFERROR(__xludf.DUMMYFUNCTION("""COMPUTED_VALUE"""),"China")</f>
        <v>China</v>
      </c>
      <c r="G25" s="5" t="str">
        <f>IFERROR(__xludf.DUMMYFUNCTION("""COMPUTED_VALUE"""),"Corn")</f>
        <v>Corn</v>
      </c>
      <c r="H25" s="6">
        <f>IFERROR(__xludf.DUMMYFUNCTION("""COMPUTED_VALUE"""),67000.0)</f>
        <v>67000</v>
      </c>
      <c r="I25" s="7">
        <f>IFERROR(__xludf.DUMMYFUNCTION("""COMPUTED_VALUE"""),45092.0)</f>
        <v>45092</v>
      </c>
      <c r="J25" s="7">
        <f>IFERROR(__xludf.DUMMYFUNCTION("""COMPUTED_VALUE"""),45101.0)</f>
        <v>45101</v>
      </c>
      <c r="K25" s="5" t="str">
        <f>IFERROR(__xludf.DUMMYFUNCTION("""COMPUTED_VALUE"""),"upper-middle-income")</f>
        <v>upper-middle-income</v>
      </c>
      <c r="L25" s="5" t="str">
        <f>IFERROR(__xludf.DUMMYFUNCTION("""COMPUTED_VALUE"""),"Marshall Islands")</f>
        <v>Marshall Islands</v>
      </c>
      <c r="M25" s="5" t="str">
        <f>IFERROR(__xludf.DUMMYFUNCTION("""COMPUTED_VALUE"""),"East Asia &amp; Pacific")</f>
        <v>East Asia &amp; Pacific</v>
      </c>
      <c r="N25" s="5" t="str">
        <f>IFERROR(__xludf.DUMMYFUNCTION("""COMPUTED_VALUE"""),"Asia-Pacific")</f>
        <v>Asia-Pacific</v>
      </c>
      <c r="O25" s="5" t="str">
        <f>IFERROR(__xludf.DUMMYFUNCTION("""COMPUTED_VALUE"""),"developing")</f>
        <v>developing</v>
      </c>
      <c r="P25" s="5"/>
      <c r="Q25" s="5"/>
    </row>
    <row r="26">
      <c r="A26" s="5" t="str">
        <f>IFERROR(__xludf.DUMMYFUNCTION("""COMPUTED_VALUE"""),"Outbound")</f>
        <v>Outbound</v>
      </c>
      <c r="B26" s="5">
        <f>IFERROR(__xludf.DUMMYFUNCTION("""COMPUTED_VALUE"""),981.0)</f>
        <v>981</v>
      </c>
      <c r="C26" s="5" t="str">
        <f>IFERROR(__xludf.DUMMYFUNCTION("""COMPUTED_VALUE"""),"SSI AVENGER")</f>
        <v>SSI AVENGER</v>
      </c>
      <c r="D26" s="5">
        <f>IFERROR(__xludf.DUMMYFUNCTION("""COMPUTED_VALUE"""),9284544.0)</f>
        <v>9284544</v>
      </c>
      <c r="E26" s="5" t="str">
        <f>IFERROR(__xludf.DUMMYFUNCTION("""COMPUTED_VALUE"""),"Chornomorsk")</f>
        <v>Chornomorsk</v>
      </c>
      <c r="F26" s="5" t="str">
        <f>IFERROR(__xludf.DUMMYFUNCTION("""COMPUTED_VALUE"""),"Spain")</f>
        <v>Spain</v>
      </c>
      <c r="G26" s="5" t="str">
        <f>IFERROR(__xludf.DUMMYFUNCTION("""COMPUTED_VALUE"""),"Corn")</f>
        <v>Corn</v>
      </c>
      <c r="H26" s="6">
        <f>IFERROR(__xludf.DUMMYFUNCTION("""COMPUTED_VALUE"""),18137.0)</f>
        <v>18137</v>
      </c>
      <c r="I26" s="7">
        <f>IFERROR(__xludf.DUMMYFUNCTION("""COMPUTED_VALUE"""),45091.0)</f>
        <v>45091</v>
      </c>
      <c r="J26" s="7">
        <f>IFERROR(__xludf.DUMMYFUNCTION("""COMPUTED_VALUE"""),45097.0)</f>
        <v>45097</v>
      </c>
      <c r="K26" s="5" t="str">
        <f>IFERROR(__xludf.DUMMYFUNCTION("""COMPUTED_VALUE"""),"high-income")</f>
        <v>high-income</v>
      </c>
      <c r="L26" s="5" t="str">
        <f>IFERROR(__xludf.DUMMYFUNCTION("""COMPUTED_VALUE"""),"Marshall Islands")</f>
        <v>Marshall Islands</v>
      </c>
      <c r="M26" s="5" t="str">
        <f>IFERROR(__xludf.DUMMYFUNCTION("""COMPUTED_VALUE"""),"Europe &amp; Central Asia")</f>
        <v>Europe &amp; Central Asia</v>
      </c>
      <c r="N26" s="5" t="str">
        <f>IFERROR(__xludf.DUMMYFUNCTION("""COMPUTED_VALUE"""),"Western Europe and Others")</f>
        <v>Western Europe and Others</v>
      </c>
      <c r="O26" s="5" t="str">
        <f>IFERROR(__xludf.DUMMYFUNCTION("""COMPUTED_VALUE"""),"developed")</f>
        <v>developed</v>
      </c>
      <c r="P26" s="5"/>
      <c r="Q26" s="5"/>
    </row>
    <row r="27">
      <c r="A27" s="5" t="str">
        <f>IFERROR(__xludf.DUMMYFUNCTION("""COMPUTED_VALUE"""),"Outbound +")</f>
        <v>Outbound +</v>
      </c>
      <c r="B27" s="5">
        <f>IFERROR(__xludf.DUMMYFUNCTION("""COMPUTED_VALUE"""),981.0)</f>
        <v>981</v>
      </c>
      <c r="C27" s="5" t="str">
        <f>IFERROR(__xludf.DUMMYFUNCTION("""COMPUTED_VALUE"""),"SSI AVENGER")</f>
        <v>SSI AVENGER</v>
      </c>
      <c r="D27" s="5">
        <f>IFERROR(__xludf.DUMMYFUNCTION("""COMPUTED_VALUE"""),9284544.0)</f>
        <v>9284544</v>
      </c>
      <c r="E27" s="5" t="str">
        <f>IFERROR(__xludf.DUMMYFUNCTION("""COMPUTED_VALUE"""),"Chornomorsk")</f>
        <v>Chornomorsk</v>
      </c>
      <c r="F27" s="5" t="str">
        <f>IFERROR(__xludf.DUMMYFUNCTION("""COMPUTED_VALUE"""),"France")</f>
        <v>France</v>
      </c>
      <c r="G27" s="5" t="str">
        <f>IFERROR(__xludf.DUMMYFUNCTION("""COMPUTED_VALUE"""),"Soya beans")</f>
        <v>Soya beans</v>
      </c>
      <c r="H27" s="6">
        <f>IFERROR(__xludf.DUMMYFUNCTION("""COMPUTED_VALUE"""),29981.0)</f>
        <v>29981</v>
      </c>
      <c r="I27" s="7">
        <f>IFERROR(__xludf.DUMMYFUNCTION("""COMPUTED_VALUE"""),45091.0)</f>
        <v>45091</v>
      </c>
      <c r="J27" s="7">
        <f>IFERROR(__xludf.DUMMYFUNCTION("""COMPUTED_VALUE"""),45097.0)</f>
        <v>45097</v>
      </c>
      <c r="K27" s="5" t="str">
        <f>IFERROR(__xludf.DUMMYFUNCTION("""COMPUTED_VALUE"""),"high-income")</f>
        <v>high-income</v>
      </c>
      <c r="L27" s="5" t="str">
        <f>IFERROR(__xludf.DUMMYFUNCTION("""COMPUTED_VALUE"""),"Marshall Islands")</f>
        <v>Marshall Islands</v>
      </c>
      <c r="M27" s="5" t="str">
        <f>IFERROR(__xludf.DUMMYFUNCTION("""COMPUTED_VALUE"""),"Europe &amp; Central Asia")</f>
        <v>Europe &amp; Central Asia</v>
      </c>
      <c r="N27" s="5" t="str">
        <f>IFERROR(__xludf.DUMMYFUNCTION("""COMPUTED_VALUE"""),"Western Europe and Others")</f>
        <v>Western Europe and Others</v>
      </c>
      <c r="O27" s="5" t="str">
        <f>IFERROR(__xludf.DUMMYFUNCTION("""COMPUTED_VALUE"""),"developed")</f>
        <v>developed</v>
      </c>
      <c r="P27" s="5"/>
      <c r="Q27" s="5"/>
    </row>
    <row r="28">
      <c r="A28" s="5" t="str">
        <f>IFERROR(__xludf.DUMMYFUNCTION("""COMPUTED_VALUE"""),"Outbound")</f>
        <v>Outbound</v>
      </c>
      <c r="B28" s="5">
        <f>IFERROR(__xludf.DUMMYFUNCTION("""COMPUTED_VALUE"""),980.0)</f>
        <v>980</v>
      </c>
      <c r="C28" s="5" t="str">
        <f>IFERROR(__xludf.DUMMYFUNCTION("""COMPUTED_VALUE"""),"SANTORINI ISLAND")</f>
        <v>SANTORINI ISLAND</v>
      </c>
      <c r="D28" s="5">
        <f>IFERROR(__xludf.DUMMYFUNCTION("""COMPUTED_VALUE"""),9393618.0)</f>
        <v>9393618</v>
      </c>
      <c r="E28" s="5" t="str">
        <f>IFERROR(__xludf.DUMMYFUNCTION("""COMPUTED_VALUE"""),"Chornomorsk")</f>
        <v>Chornomorsk</v>
      </c>
      <c r="F28" s="5" t="str">
        <f>IFERROR(__xludf.DUMMYFUNCTION("""COMPUTED_VALUE"""),"Italy")</f>
        <v>Italy</v>
      </c>
      <c r="G28" s="5" t="str">
        <f>IFERROR(__xludf.DUMMYFUNCTION("""COMPUTED_VALUE"""),"Corn")</f>
        <v>Corn</v>
      </c>
      <c r="H28" s="6">
        <f>IFERROR(__xludf.DUMMYFUNCTION("""COMPUTED_VALUE"""),44630.0)</f>
        <v>44630</v>
      </c>
      <c r="I28" s="7">
        <f>IFERROR(__xludf.DUMMYFUNCTION("""COMPUTED_VALUE"""),45091.0)</f>
        <v>45091</v>
      </c>
      <c r="J28" s="7">
        <f>IFERROR(__xludf.DUMMYFUNCTION("""COMPUTED_VALUE"""),45097.0)</f>
        <v>45097</v>
      </c>
      <c r="K28" s="5" t="str">
        <f>IFERROR(__xludf.DUMMYFUNCTION("""COMPUTED_VALUE"""),"high-income")</f>
        <v>high-income</v>
      </c>
      <c r="L28" s="5" t="str">
        <f>IFERROR(__xludf.DUMMYFUNCTION("""COMPUTED_VALUE"""),"Panama")</f>
        <v>Panama</v>
      </c>
      <c r="M28" s="5" t="str">
        <f>IFERROR(__xludf.DUMMYFUNCTION("""COMPUTED_VALUE"""),"Europe &amp; Central Asia")</f>
        <v>Europe &amp; Central Asia</v>
      </c>
      <c r="N28" s="5" t="str">
        <f>IFERROR(__xludf.DUMMYFUNCTION("""COMPUTED_VALUE"""),"Western Europe and Others")</f>
        <v>Western Europe and Others</v>
      </c>
      <c r="O28" s="5" t="str">
        <f>IFERROR(__xludf.DUMMYFUNCTION("""COMPUTED_VALUE"""),"developed")</f>
        <v>developed</v>
      </c>
      <c r="P28" s="5"/>
      <c r="Q28" s="5"/>
    </row>
    <row r="29">
      <c r="A29" s="5" t="str">
        <f>IFERROR(__xludf.DUMMYFUNCTION("""COMPUTED_VALUE"""),"Outbound")</f>
        <v>Outbound</v>
      </c>
      <c r="B29" s="5">
        <f>IFERROR(__xludf.DUMMYFUNCTION("""COMPUTED_VALUE"""),979.0)</f>
        <v>979</v>
      </c>
      <c r="C29" s="5" t="str">
        <f>IFERROR(__xludf.DUMMYFUNCTION("""COMPUTED_VALUE"""),"EUROSTAR")</f>
        <v>EUROSTAR</v>
      </c>
      <c r="D29" s="5">
        <f>IFERROR(__xludf.DUMMYFUNCTION("""COMPUTED_VALUE"""),9546203.0)</f>
        <v>9546203</v>
      </c>
      <c r="E29" s="5" t="str">
        <f>IFERROR(__xludf.DUMMYFUNCTION("""COMPUTED_VALUE"""),"Chornomorsk")</f>
        <v>Chornomorsk</v>
      </c>
      <c r="F29" s="5" t="str">
        <f>IFERROR(__xludf.DUMMYFUNCTION("""COMPUTED_VALUE"""),"China")</f>
        <v>China</v>
      </c>
      <c r="G29" s="5" t="str">
        <f>IFERROR(__xludf.DUMMYFUNCTION("""COMPUTED_VALUE"""),"Sunflower meal")</f>
        <v>Sunflower meal</v>
      </c>
      <c r="H29" s="6">
        <f>IFERROR(__xludf.DUMMYFUNCTION("""COMPUTED_VALUE"""),29527.0)</f>
        <v>29527</v>
      </c>
      <c r="I29" s="7">
        <f>IFERROR(__xludf.DUMMYFUNCTION("""COMPUTED_VALUE"""),45091.0)</f>
        <v>45091</v>
      </c>
      <c r="J29" s="7">
        <f>IFERROR(__xludf.DUMMYFUNCTION("""COMPUTED_VALUE"""),45100.0)</f>
        <v>45100</v>
      </c>
      <c r="K29" s="5" t="str">
        <f>IFERROR(__xludf.DUMMYFUNCTION("""COMPUTED_VALUE"""),"upper-middle-income")</f>
        <v>upper-middle-income</v>
      </c>
      <c r="L29" s="5" t="str">
        <f>IFERROR(__xludf.DUMMYFUNCTION("""COMPUTED_VALUE"""),"Liberia")</f>
        <v>Liberia</v>
      </c>
      <c r="M29" s="5" t="str">
        <f>IFERROR(__xludf.DUMMYFUNCTION("""COMPUTED_VALUE"""),"East Asia &amp; Pacific")</f>
        <v>East Asia &amp; Pacific</v>
      </c>
      <c r="N29" s="5" t="str">
        <f>IFERROR(__xludf.DUMMYFUNCTION("""COMPUTED_VALUE"""),"Asia-Pacific")</f>
        <v>Asia-Pacific</v>
      </c>
      <c r="O29" s="5" t="str">
        <f>IFERROR(__xludf.DUMMYFUNCTION("""COMPUTED_VALUE"""),"developing")</f>
        <v>developing</v>
      </c>
      <c r="P29" s="5"/>
      <c r="Q29" s="5"/>
    </row>
    <row r="30">
      <c r="A30" s="5" t="str">
        <f>IFERROR(__xludf.DUMMYFUNCTION("""COMPUTED_VALUE"""),"Outbound")</f>
        <v>Outbound</v>
      </c>
      <c r="B30" s="5">
        <f>IFERROR(__xludf.DUMMYFUNCTION("""COMPUTED_VALUE"""),978.0)</f>
        <v>978</v>
      </c>
      <c r="C30" s="5" t="str">
        <f>IFERROR(__xludf.DUMMYFUNCTION("""COMPUTED_VALUE"""),"DIAS")</f>
        <v>DIAS</v>
      </c>
      <c r="D30" s="5">
        <f>IFERROR(__xludf.DUMMYFUNCTION("""COMPUTED_VALUE"""),9248904.0)</f>
        <v>9248904</v>
      </c>
      <c r="E30" s="5" t="str">
        <f>IFERROR(__xludf.DUMMYFUNCTION("""COMPUTED_VALUE"""),"Odesa")</f>
        <v>Odesa</v>
      </c>
      <c r="F30" s="5" t="str">
        <f>IFERROR(__xludf.DUMMYFUNCTION("""COMPUTED_VALUE"""),"China")</f>
        <v>China</v>
      </c>
      <c r="G30" s="5" t="str">
        <f>IFERROR(__xludf.DUMMYFUNCTION("""COMPUTED_VALUE"""),"Corn")</f>
        <v>Corn</v>
      </c>
      <c r="H30" s="6">
        <f>IFERROR(__xludf.DUMMYFUNCTION("""COMPUTED_VALUE"""),65468.0)</f>
        <v>65468</v>
      </c>
      <c r="I30" s="7">
        <f>IFERROR(__xludf.DUMMYFUNCTION("""COMPUTED_VALUE"""),45091.0)</f>
        <v>45091</v>
      </c>
      <c r="J30" s="7">
        <f>IFERROR(__xludf.DUMMYFUNCTION("""COMPUTED_VALUE"""),45099.0)</f>
        <v>45099</v>
      </c>
      <c r="K30" s="5" t="str">
        <f>IFERROR(__xludf.DUMMYFUNCTION("""COMPUTED_VALUE"""),"upper-middle-income")</f>
        <v>upper-middle-income</v>
      </c>
      <c r="L30" s="5" t="str">
        <f>IFERROR(__xludf.DUMMYFUNCTION("""COMPUTED_VALUE"""),"Liberia")</f>
        <v>Liberia</v>
      </c>
      <c r="M30" s="5" t="str">
        <f>IFERROR(__xludf.DUMMYFUNCTION("""COMPUTED_VALUE"""),"East Asia &amp; Pacific")</f>
        <v>East Asia &amp; Pacific</v>
      </c>
      <c r="N30" s="5" t="str">
        <f>IFERROR(__xludf.DUMMYFUNCTION("""COMPUTED_VALUE"""),"Asia-Pacific")</f>
        <v>Asia-Pacific</v>
      </c>
      <c r="O30" s="5" t="str">
        <f>IFERROR(__xludf.DUMMYFUNCTION("""COMPUTED_VALUE"""),"developing")</f>
        <v>developing</v>
      </c>
      <c r="P30" s="5"/>
      <c r="Q30" s="5"/>
    </row>
    <row r="31">
      <c r="A31" s="5" t="str">
        <f>IFERROR(__xludf.DUMMYFUNCTION("""COMPUTED_VALUE"""),"Outbound")</f>
        <v>Outbound</v>
      </c>
      <c r="B31" s="5">
        <f>IFERROR(__xludf.DUMMYFUNCTION("""COMPUTED_VALUE"""),977.0)</f>
        <v>977</v>
      </c>
      <c r="C31" s="5" t="str">
        <f>IFERROR(__xludf.DUMMYFUNCTION("""COMPUTED_VALUE"""),"SEA COMMANDER")</f>
        <v>SEA COMMANDER</v>
      </c>
      <c r="D31" s="5">
        <f>IFERROR(__xludf.DUMMYFUNCTION("""COMPUTED_VALUE"""),9799783.0)</f>
        <v>9799783</v>
      </c>
      <c r="E31" s="5" t="str">
        <f>IFERROR(__xludf.DUMMYFUNCTION("""COMPUTED_VALUE"""),"Chornomorsk")</f>
        <v>Chornomorsk</v>
      </c>
      <c r="F31" s="5" t="str">
        <f>IFERROR(__xludf.DUMMYFUNCTION("""COMPUTED_VALUE"""),"Spain")</f>
        <v>Spain</v>
      </c>
      <c r="G31" s="5" t="str">
        <f>IFERROR(__xludf.DUMMYFUNCTION("""COMPUTED_VALUE"""),"Corn")</f>
        <v>Corn</v>
      </c>
      <c r="H31" s="6">
        <f>IFERROR(__xludf.DUMMYFUNCTION("""COMPUTED_VALUE"""),69000.0)</f>
        <v>69000</v>
      </c>
      <c r="I31" s="7">
        <f>IFERROR(__xludf.DUMMYFUNCTION("""COMPUTED_VALUE"""),45087.0)</f>
        <v>45087</v>
      </c>
      <c r="J31" s="7">
        <f>IFERROR(__xludf.DUMMYFUNCTION("""COMPUTED_VALUE"""),45095.0)</f>
        <v>45095</v>
      </c>
      <c r="K31" s="5" t="str">
        <f>IFERROR(__xludf.DUMMYFUNCTION("""COMPUTED_VALUE"""),"high-income")</f>
        <v>high-income</v>
      </c>
      <c r="L31" s="5" t="str">
        <f>IFERROR(__xludf.DUMMYFUNCTION("""COMPUTED_VALUE"""),"Malta")</f>
        <v>Malta</v>
      </c>
      <c r="M31" s="5" t="str">
        <f>IFERROR(__xludf.DUMMYFUNCTION("""COMPUTED_VALUE"""),"Europe &amp; Central Asia")</f>
        <v>Europe &amp; Central Asia</v>
      </c>
      <c r="N31" s="5" t="str">
        <f>IFERROR(__xludf.DUMMYFUNCTION("""COMPUTED_VALUE"""),"Western Europe and Others")</f>
        <v>Western Europe and Others</v>
      </c>
      <c r="O31" s="5" t="str">
        <f>IFERROR(__xludf.DUMMYFUNCTION("""COMPUTED_VALUE"""),"developed")</f>
        <v>developed</v>
      </c>
      <c r="P31" s="5"/>
      <c r="Q31" s="5"/>
    </row>
    <row r="32">
      <c r="A32" s="5" t="str">
        <f>IFERROR(__xludf.DUMMYFUNCTION("""COMPUTED_VALUE"""),"Outbound")</f>
        <v>Outbound</v>
      </c>
      <c r="B32" s="5">
        <f>IFERROR(__xludf.DUMMYFUNCTION("""COMPUTED_VALUE"""),976.0)</f>
        <v>976</v>
      </c>
      <c r="C32" s="5" t="str">
        <f>IFERROR(__xludf.DUMMYFUNCTION("""COMPUTED_VALUE"""),"TANG LAND")</f>
        <v>TANG LAND</v>
      </c>
      <c r="D32" s="5">
        <f>IFERROR(__xludf.DUMMYFUNCTION("""COMPUTED_VALUE"""),9233595.0)</f>
        <v>9233595</v>
      </c>
      <c r="E32" s="5" t="str">
        <f>IFERROR(__xludf.DUMMYFUNCTION("""COMPUTED_VALUE"""),"Chornomorsk")</f>
        <v>Chornomorsk</v>
      </c>
      <c r="F32" s="5" t="str">
        <f>IFERROR(__xludf.DUMMYFUNCTION("""COMPUTED_VALUE"""),"China")</f>
        <v>China</v>
      </c>
      <c r="G32" s="5" t="str">
        <f>IFERROR(__xludf.DUMMYFUNCTION("""COMPUTED_VALUE"""),"Corn")</f>
        <v>Corn</v>
      </c>
      <c r="H32" s="6">
        <f>IFERROR(__xludf.DUMMYFUNCTION("""COMPUTED_VALUE"""),65500.0)</f>
        <v>65500</v>
      </c>
      <c r="I32" s="7">
        <f>IFERROR(__xludf.DUMMYFUNCTION("""COMPUTED_VALUE"""),45086.0)</f>
        <v>45086</v>
      </c>
      <c r="J32" s="7">
        <f>IFERROR(__xludf.DUMMYFUNCTION("""COMPUTED_VALUE"""),45095.0)</f>
        <v>45095</v>
      </c>
      <c r="K32" s="5" t="str">
        <f>IFERROR(__xludf.DUMMYFUNCTION("""COMPUTED_VALUE"""),"upper-middle-income")</f>
        <v>upper-middle-income</v>
      </c>
      <c r="L32" s="5" t="str">
        <f>IFERROR(__xludf.DUMMYFUNCTION("""COMPUTED_VALUE"""),"Panama")</f>
        <v>Panama</v>
      </c>
      <c r="M32" s="5" t="str">
        <f>IFERROR(__xludf.DUMMYFUNCTION("""COMPUTED_VALUE"""),"East Asia &amp; Pacific")</f>
        <v>East Asia &amp; Pacific</v>
      </c>
      <c r="N32" s="5" t="str">
        <f>IFERROR(__xludf.DUMMYFUNCTION("""COMPUTED_VALUE"""),"Asia-Pacific")</f>
        <v>Asia-Pacific</v>
      </c>
      <c r="O32" s="5" t="str">
        <f>IFERROR(__xludf.DUMMYFUNCTION("""COMPUTED_VALUE"""),"developing")</f>
        <v>developing</v>
      </c>
      <c r="P32" s="5"/>
      <c r="Q32" s="5"/>
    </row>
    <row r="33">
      <c r="A33" s="5" t="str">
        <f>IFERROR(__xludf.DUMMYFUNCTION("""COMPUTED_VALUE"""),"Outbound")</f>
        <v>Outbound</v>
      </c>
      <c r="B33" s="5">
        <f>IFERROR(__xludf.DUMMYFUNCTION("""COMPUTED_VALUE"""),975.0)</f>
        <v>975</v>
      </c>
      <c r="C33" s="5" t="str">
        <f>IFERROR(__xludf.DUMMYFUNCTION("""COMPUTED_VALUE"""),"LENI")</f>
        <v>LENI</v>
      </c>
      <c r="D33" s="5">
        <f>IFERROR(__xludf.DUMMYFUNCTION("""COMPUTED_VALUE"""),9362982.0)</f>
        <v>9362982</v>
      </c>
      <c r="E33" s="5" t="str">
        <f>IFERROR(__xludf.DUMMYFUNCTION("""COMPUTED_VALUE"""),"Odesa")</f>
        <v>Odesa</v>
      </c>
      <c r="F33" s="5" t="str">
        <f>IFERROR(__xludf.DUMMYFUNCTION("""COMPUTED_VALUE"""),"Kenya")</f>
        <v>Kenya</v>
      </c>
      <c r="G33" s="5" t="str">
        <f>IFERROR(__xludf.DUMMYFUNCTION("""COMPUTED_VALUE"""),"Wheat")</f>
        <v>Wheat</v>
      </c>
      <c r="H33" s="6">
        <f>IFERROR(__xludf.DUMMYFUNCTION("""COMPUTED_VALUE"""),51960.0)</f>
        <v>51960</v>
      </c>
      <c r="I33" s="7">
        <f>IFERROR(__xludf.DUMMYFUNCTION("""COMPUTED_VALUE"""),45085.0)</f>
        <v>45085</v>
      </c>
      <c r="J33" s="7">
        <f>IFERROR(__xludf.DUMMYFUNCTION("""COMPUTED_VALUE"""),45094.0)</f>
        <v>45094</v>
      </c>
      <c r="K33" s="5" t="str">
        <f>IFERROR(__xludf.DUMMYFUNCTION("""COMPUTED_VALUE"""),"lower-middle income")</f>
        <v>lower-middle income</v>
      </c>
      <c r="L33" s="5" t="str">
        <f>IFERROR(__xludf.DUMMYFUNCTION("""COMPUTED_VALUE"""),"Marshall Islands")</f>
        <v>Marshall Islands</v>
      </c>
      <c r="M33" s="5" t="str">
        <f>IFERROR(__xludf.DUMMYFUNCTION("""COMPUTED_VALUE"""),"Sub-Saharan Africa")</f>
        <v>Sub-Saharan Africa</v>
      </c>
      <c r="N33" s="5" t="str">
        <f>IFERROR(__xludf.DUMMYFUNCTION("""COMPUTED_VALUE"""),"Africa")</f>
        <v>Africa</v>
      </c>
      <c r="O33" s="5" t="str">
        <f>IFERROR(__xludf.DUMMYFUNCTION("""COMPUTED_VALUE"""),"developing")</f>
        <v>developing</v>
      </c>
      <c r="P33" s="5"/>
      <c r="Q33" s="5"/>
    </row>
    <row r="34">
      <c r="A34" s="5" t="str">
        <f>IFERROR(__xludf.DUMMYFUNCTION("""COMPUTED_VALUE"""),"Outbound +")</f>
        <v>Outbound +</v>
      </c>
      <c r="B34" s="5">
        <f>IFERROR(__xludf.DUMMYFUNCTION("""COMPUTED_VALUE"""),975.0)</f>
        <v>975</v>
      </c>
      <c r="C34" s="5" t="str">
        <f>IFERROR(__xludf.DUMMYFUNCTION("""COMPUTED_VALUE"""),"LENI")</f>
        <v>LENI</v>
      </c>
      <c r="D34" s="5">
        <f>IFERROR(__xludf.DUMMYFUNCTION("""COMPUTED_VALUE"""),9362982.0)</f>
        <v>9362982</v>
      </c>
      <c r="E34" s="5" t="str">
        <f>IFERROR(__xludf.DUMMYFUNCTION("""COMPUTED_VALUE"""),"Odesa")</f>
        <v>Odesa</v>
      </c>
      <c r="F34" s="5" t="str">
        <f>IFERROR(__xludf.DUMMYFUNCTION("""COMPUTED_VALUE"""),"Kenya")</f>
        <v>Kenya</v>
      </c>
      <c r="G34" s="5" t="str">
        <f>IFERROR(__xludf.DUMMYFUNCTION("""COMPUTED_VALUE"""),"Corn")</f>
        <v>Corn</v>
      </c>
      <c r="H34" s="6">
        <f>IFERROR(__xludf.DUMMYFUNCTION("""COMPUTED_VALUE"""),8617.0)</f>
        <v>8617</v>
      </c>
      <c r="I34" s="7">
        <f>IFERROR(__xludf.DUMMYFUNCTION("""COMPUTED_VALUE"""),45085.0)</f>
        <v>45085</v>
      </c>
      <c r="J34" s="7">
        <f>IFERROR(__xludf.DUMMYFUNCTION("""COMPUTED_VALUE"""),45094.0)</f>
        <v>45094</v>
      </c>
      <c r="K34" s="5" t="str">
        <f>IFERROR(__xludf.DUMMYFUNCTION("""COMPUTED_VALUE"""),"lower-middle income")</f>
        <v>lower-middle income</v>
      </c>
      <c r="L34" s="5" t="str">
        <f>IFERROR(__xludf.DUMMYFUNCTION("""COMPUTED_VALUE"""),"Marshall Islands")</f>
        <v>Marshall Islands</v>
      </c>
      <c r="M34" s="5" t="str">
        <f>IFERROR(__xludf.DUMMYFUNCTION("""COMPUTED_VALUE"""),"Sub-Saharan Africa")</f>
        <v>Sub-Saharan Africa</v>
      </c>
      <c r="N34" s="5" t="str">
        <f>IFERROR(__xludf.DUMMYFUNCTION("""COMPUTED_VALUE"""),"Africa")</f>
        <v>Africa</v>
      </c>
      <c r="O34" s="5" t="str">
        <f>IFERROR(__xludf.DUMMYFUNCTION("""COMPUTED_VALUE"""),"developing")</f>
        <v>developing</v>
      </c>
      <c r="P34" s="5"/>
      <c r="Q34" s="5"/>
    </row>
    <row r="35">
      <c r="A35" s="5" t="str">
        <f>IFERROR(__xludf.DUMMYFUNCTION("""COMPUTED_VALUE"""),"Outbound")</f>
        <v>Outbound</v>
      </c>
      <c r="B35" s="5">
        <f>IFERROR(__xludf.DUMMYFUNCTION("""COMPUTED_VALUE"""),974.0)</f>
        <v>974</v>
      </c>
      <c r="C35" s="5" t="str">
        <f>IFERROR(__xludf.DUMMYFUNCTION("""COMPUTED_VALUE"""),"MARLEN")</f>
        <v>MARLEN</v>
      </c>
      <c r="D35" s="5">
        <f>IFERROR(__xludf.DUMMYFUNCTION("""COMPUTED_VALUE"""),9430179.0)</f>
        <v>9430179</v>
      </c>
      <c r="E35" s="5" t="str">
        <f>IFERROR(__xludf.DUMMYFUNCTION("""COMPUTED_VALUE"""),"Chornomorsk")</f>
        <v>Chornomorsk</v>
      </c>
      <c r="F35" s="5" t="str">
        <f>IFERROR(__xludf.DUMMYFUNCTION("""COMPUTED_VALUE"""),"India")</f>
        <v>India</v>
      </c>
      <c r="G35" s="5" t="str">
        <f>IFERROR(__xludf.DUMMYFUNCTION("""COMPUTED_VALUE"""),"Sunflower oil")</f>
        <v>Sunflower oil</v>
      </c>
      <c r="H35" s="6">
        <f>IFERROR(__xludf.DUMMYFUNCTION("""COMPUTED_VALUE"""),43860.0)</f>
        <v>43860</v>
      </c>
      <c r="I35" s="7">
        <f>IFERROR(__xludf.DUMMYFUNCTION("""COMPUTED_VALUE"""),45085.0)</f>
        <v>45085</v>
      </c>
      <c r="J35" s="7">
        <f>IFERROR(__xludf.DUMMYFUNCTION("""COMPUTED_VALUE"""),45094.0)</f>
        <v>45094</v>
      </c>
      <c r="K35" s="5" t="str">
        <f>IFERROR(__xludf.DUMMYFUNCTION("""COMPUTED_VALUE"""),"lower-middle income")</f>
        <v>lower-middle income</v>
      </c>
      <c r="L35" s="5" t="str">
        <f>IFERROR(__xludf.DUMMYFUNCTION("""COMPUTED_VALUE"""),"Liberia")</f>
        <v>Liberia</v>
      </c>
      <c r="M35" s="5" t="str">
        <f>IFERROR(__xludf.DUMMYFUNCTION("""COMPUTED_VALUE"""),"South Asia")</f>
        <v>South Asia</v>
      </c>
      <c r="N35" s="5" t="str">
        <f>IFERROR(__xludf.DUMMYFUNCTION("""COMPUTED_VALUE"""),"Asia-Pacific")</f>
        <v>Asia-Pacific</v>
      </c>
      <c r="O35" s="5" t="str">
        <f>IFERROR(__xludf.DUMMYFUNCTION("""COMPUTED_VALUE"""),"developing")</f>
        <v>developing</v>
      </c>
      <c r="P35" s="5"/>
      <c r="Q35" s="5"/>
    </row>
    <row r="36">
      <c r="A36" s="5" t="str">
        <f>IFERROR(__xludf.DUMMYFUNCTION("""COMPUTED_VALUE"""),"Outbound")</f>
        <v>Outbound</v>
      </c>
      <c r="B36" s="5">
        <f>IFERROR(__xludf.DUMMYFUNCTION("""COMPUTED_VALUE"""),973.0)</f>
        <v>973</v>
      </c>
      <c r="C36" s="5" t="str">
        <f>IFERROR(__xludf.DUMMYFUNCTION("""COMPUTED_VALUE"""),"EDFU")</f>
        <v>EDFU</v>
      </c>
      <c r="D36" s="5">
        <f>IFERROR(__xludf.DUMMYFUNCTION("""COMPUTED_VALUE"""),9139256.0)</f>
        <v>9139256</v>
      </c>
      <c r="E36" s="5" t="str">
        <f>IFERROR(__xludf.DUMMYFUNCTION("""COMPUTED_VALUE"""),"Chornomorsk")</f>
        <v>Chornomorsk</v>
      </c>
      <c r="F36" s="5" t="str">
        <f>IFERROR(__xludf.DUMMYFUNCTION("""COMPUTED_VALUE"""),"Egypt")</f>
        <v>Egypt</v>
      </c>
      <c r="G36" s="5" t="str">
        <f>IFERROR(__xludf.DUMMYFUNCTION("""COMPUTED_VALUE"""),"Wheat")</f>
        <v>Wheat</v>
      </c>
      <c r="H36" s="6">
        <f>IFERROR(__xludf.DUMMYFUNCTION("""COMPUTED_VALUE"""),63000.0)</f>
        <v>63000</v>
      </c>
      <c r="I36" s="7">
        <f>IFERROR(__xludf.DUMMYFUNCTION("""COMPUTED_VALUE"""),45085.0)</f>
        <v>45085</v>
      </c>
      <c r="J36" s="7">
        <f>IFERROR(__xludf.DUMMYFUNCTION("""COMPUTED_VALUE"""),45096.0)</f>
        <v>45096</v>
      </c>
      <c r="K36" s="5" t="str">
        <f>IFERROR(__xludf.DUMMYFUNCTION("""COMPUTED_VALUE"""),"lower-middle income")</f>
        <v>lower-middle income</v>
      </c>
      <c r="L36" s="5" t="str">
        <f>IFERROR(__xludf.DUMMYFUNCTION("""COMPUTED_VALUE"""),"Egypt")</f>
        <v>Egypt</v>
      </c>
      <c r="M36" s="5" t="str">
        <f>IFERROR(__xludf.DUMMYFUNCTION("""COMPUTED_VALUE"""),"Middle East &amp; North Africa")</f>
        <v>Middle East &amp; North Africa</v>
      </c>
      <c r="N36" s="5" t="str">
        <f>IFERROR(__xludf.DUMMYFUNCTION("""COMPUTED_VALUE"""),"Africa")</f>
        <v>Africa</v>
      </c>
      <c r="O36" s="5" t="str">
        <f>IFERROR(__xludf.DUMMYFUNCTION("""COMPUTED_VALUE"""),"developing")</f>
        <v>developing</v>
      </c>
      <c r="P36" s="5"/>
      <c r="Q36" s="5"/>
    </row>
    <row r="37">
      <c r="A37" s="5" t="str">
        <f>IFERROR(__xludf.DUMMYFUNCTION("""COMPUTED_VALUE"""),"Outbound")</f>
        <v>Outbound</v>
      </c>
      <c r="B37" s="5">
        <f>IFERROR(__xludf.DUMMYFUNCTION("""COMPUTED_VALUE"""),972.0)</f>
        <v>972</v>
      </c>
      <c r="C37" s="5" t="str">
        <f>IFERROR(__xludf.DUMMYFUNCTION("""COMPUTED_VALUE"""),"SUPER MARTINELLI")</f>
        <v>SUPER MARTINELLI</v>
      </c>
      <c r="D37" s="5">
        <f>IFERROR(__xludf.DUMMYFUNCTION("""COMPUTED_VALUE"""),9542831.0)</f>
        <v>9542831</v>
      </c>
      <c r="E37" s="5" t="str">
        <f>IFERROR(__xludf.DUMMYFUNCTION("""COMPUTED_VALUE"""),"Odesa")</f>
        <v>Odesa</v>
      </c>
      <c r="F37" s="5" t="str">
        <f>IFERROR(__xludf.DUMMYFUNCTION("""COMPUTED_VALUE"""),"Spain")</f>
        <v>Spain</v>
      </c>
      <c r="G37" s="5" t="str">
        <f>IFERROR(__xludf.DUMMYFUNCTION("""COMPUTED_VALUE"""),"Corn")</f>
        <v>Corn</v>
      </c>
      <c r="H37" s="6">
        <f>IFERROR(__xludf.DUMMYFUNCTION("""COMPUTED_VALUE"""),33394.0)</f>
        <v>33394</v>
      </c>
      <c r="I37" s="7">
        <f>IFERROR(__xludf.DUMMYFUNCTION("""COMPUTED_VALUE"""),45084.0)</f>
        <v>45084</v>
      </c>
      <c r="J37" s="7">
        <f>IFERROR(__xludf.DUMMYFUNCTION("""COMPUTED_VALUE"""),45088.0)</f>
        <v>45088</v>
      </c>
      <c r="K37" s="5" t="str">
        <f>IFERROR(__xludf.DUMMYFUNCTION("""COMPUTED_VALUE"""),"high-income")</f>
        <v>high-income</v>
      </c>
      <c r="L37" s="5" t="str">
        <f>IFERROR(__xludf.DUMMYFUNCTION("""COMPUTED_VALUE"""),"Barbados")</f>
        <v>Barbados</v>
      </c>
      <c r="M37" s="5" t="str">
        <f>IFERROR(__xludf.DUMMYFUNCTION("""COMPUTED_VALUE"""),"Europe &amp; Central Asia")</f>
        <v>Europe &amp; Central Asia</v>
      </c>
      <c r="N37" s="5" t="str">
        <f>IFERROR(__xludf.DUMMYFUNCTION("""COMPUTED_VALUE"""),"Western Europe and Others")</f>
        <v>Western Europe and Others</v>
      </c>
      <c r="O37" s="5" t="str">
        <f>IFERROR(__xludf.DUMMYFUNCTION("""COMPUTED_VALUE"""),"developed")</f>
        <v>developed</v>
      </c>
      <c r="P37" s="5"/>
      <c r="Q37" s="5"/>
    </row>
    <row r="38">
      <c r="A38" s="5" t="str">
        <f>IFERROR(__xludf.DUMMYFUNCTION("""COMPUTED_VALUE"""),"Outbound")</f>
        <v>Outbound</v>
      </c>
      <c r="B38" s="5">
        <f>IFERROR(__xludf.DUMMYFUNCTION("""COMPUTED_VALUE"""),971.0)</f>
        <v>971</v>
      </c>
      <c r="C38" s="5" t="str">
        <f>IFERROR(__xludf.DUMMYFUNCTION("""COMPUTED_VALUE"""),"BR VICTORY")</f>
        <v>BR VICTORY</v>
      </c>
      <c r="D38" s="5">
        <f>IFERROR(__xludf.DUMMYFUNCTION("""COMPUTED_VALUE"""),9145956.0)</f>
        <v>9145956</v>
      </c>
      <c r="E38" s="5" t="str">
        <f>IFERROR(__xludf.DUMMYFUNCTION("""COMPUTED_VALUE"""),"Odesa")</f>
        <v>Odesa</v>
      </c>
      <c r="F38" s="5" t="str">
        <f>IFERROR(__xludf.DUMMYFUNCTION("""COMPUTED_VALUE"""),"Egypt")</f>
        <v>Egypt</v>
      </c>
      <c r="G38" s="5" t="str">
        <f>IFERROR(__xludf.DUMMYFUNCTION("""COMPUTED_VALUE"""),"Corn")</f>
        <v>Corn</v>
      </c>
      <c r="H38" s="6">
        <f>IFERROR(__xludf.DUMMYFUNCTION("""COMPUTED_VALUE"""),32825.0)</f>
        <v>32825</v>
      </c>
      <c r="I38" s="7">
        <f>IFERROR(__xludf.DUMMYFUNCTION("""COMPUTED_VALUE"""),45084.0)</f>
        <v>45084</v>
      </c>
      <c r="J38" s="7">
        <f>IFERROR(__xludf.DUMMYFUNCTION("""COMPUTED_VALUE"""),45094.0)</f>
        <v>45094</v>
      </c>
      <c r="K38" s="5" t="str">
        <f>IFERROR(__xludf.DUMMYFUNCTION("""COMPUTED_VALUE"""),"lower-middle income")</f>
        <v>lower-middle income</v>
      </c>
      <c r="L38" s="5" t="str">
        <f>IFERROR(__xludf.DUMMYFUNCTION("""COMPUTED_VALUE"""),"Panama")</f>
        <v>Panama</v>
      </c>
      <c r="M38" s="5" t="str">
        <f>IFERROR(__xludf.DUMMYFUNCTION("""COMPUTED_VALUE"""),"Middle East &amp; North Africa")</f>
        <v>Middle East &amp; North Africa</v>
      </c>
      <c r="N38" s="5" t="str">
        <f>IFERROR(__xludf.DUMMYFUNCTION("""COMPUTED_VALUE"""),"Africa")</f>
        <v>Africa</v>
      </c>
      <c r="O38" s="5" t="str">
        <f>IFERROR(__xludf.DUMMYFUNCTION("""COMPUTED_VALUE"""),"developing")</f>
        <v>developing</v>
      </c>
      <c r="P38" s="5"/>
      <c r="Q38" s="5"/>
    </row>
    <row r="39">
      <c r="A39" s="5" t="str">
        <f>IFERROR(__xludf.DUMMYFUNCTION("""COMPUTED_VALUE"""),"Outbound +")</f>
        <v>Outbound +</v>
      </c>
      <c r="B39" s="5">
        <f>IFERROR(__xludf.DUMMYFUNCTION("""COMPUTED_VALUE"""),971.0)</f>
        <v>971</v>
      </c>
      <c r="C39" s="5" t="str">
        <f>IFERROR(__xludf.DUMMYFUNCTION("""COMPUTED_VALUE"""),"BR VICTORY")</f>
        <v>BR VICTORY</v>
      </c>
      <c r="D39" s="5">
        <f>IFERROR(__xludf.DUMMYFUNCTION("""COMPUTED_VALUE"""),9145956.0)</f>
        <v>9145956</v>
      </c>
      <c r="E39" s="5" t="str">
        <f>IFERROR(__xludf.DUMMYFUNCTION("""COMPUTED_VALUE"""),"Odesa")</f>
        <v>Odesa</v>
      </c>
      <c r="F39" s="5" t="str">
        <f>IFERROR(__xludf.DUMMYFUNCTION("""COMPUTED_VALUE"""),"Egypt")</f>
        <v>Egypt</v>
      </c>
      <c r="G39" s="5" t="str">
        <f>IFERROR(__xludf.DUMMYFUNCTION("""COMPUTED_VALUE"""),"Soya beans")</f>
        <v>Soya beans</v>
      </c>
      <c r="H39" s="6">
        <f>IFERROR(__xludf.DUMMYFUNCTION("""COMPUTED_VALUE"""),9233.0)</f>
        <v>9233</v>
      </c>
      <c r="I39" s="7">
        <f>IFERROR(__xludf.DUMMYFUNCTION("""COMPUTED_VALUE"""),45084.0)</f>
        <v>45084</v>
      </c>
      <c r="J39" s="7">
        <f>IFERROR(__xludf.DUMMYFUNCTION("""COMPUTED_VALUE"""),45094.0)</f>
        <v>45094</v>
      </c>
      <c r="K39" s="5" t="str">
        <f>IFERROR(__xludf.DUMMYFUNCTION("""COMPUTED_VALUE"""),"lower-middle income")</f>
        <v>lower-middle income</v>
      </c>
      <c r="L39" s="5" t="str">
        <f>IFERROR(__xludf.DUMMYFUNCTION("""COMPUTED_VALUE"""),"Panama")</f>
        <v>Panama</v>
      </c>
      <c r="M39" s="5" t="str">
        <f>IFERROR(__xludf.DUMMYFUNCTION("""COMPUTED_VALUE"""),"Middle East &amp; North Africa")</f>
        <v>Middle East &amp; North Africa</v>
      </c>
      <c r="N39" s="5" t="str">
        <f>IFERROR(__xludf.DUMMYFUNCTION("""COMPUTED_VALUE"""),"Africa")</f>
        <v>Africa</v>
      </c>
      <c r="O39" s="5" t="str">
        <f>IFERROR(__xludf.DUMMYFUNCTION("""COMPUTED_VALUE"""),"developing")</f>
        <v>developing</v>
      </c>
      <c r="P39" s="5"/>
      <c r="Q39" s="5"/>
    </row>
    <row r="40">
      <c r="A40" s="5" t="str">
        <f>IFERROR(__xludf.DUMMYFUNCTION("""COMPUTED_VALUE"""),"Outbound")</f>
        <v>Outbound</v>
      </c>
      <c r="B40" s="5">
        <f>IFERROR(__xludf.DUMMYFUNCTION("""COMPUTED_VALUE"""),970.0)</f>
        <v>970</v>
      </c>
      <c r="C40" s="5" t="str">
        <f>IFERROR(__xludf.DUMMYFUNCTION("""COMPUTED_VALUE"""),"GARNET")</f>
        <v>GARNET</v>
      </c>
      <c r="D40" s="5">
        <f>IFERROR(__xludf.DUMMYFUNCTION("""COMPUTED_VALUE"""),9450741.0)</f>
        <v>9450741</v>
      </c>
      <c r="E40" s="5" t="str">
        <f>IFERROR(__xludf.DUMMYFUNCTION("""COMPUTED_VALUE"""),"Chornomorsk")</f>
        <v>Chornomorsk</v>
      </c>
      <c r="F40" s="5" t="str">
        <f>IFERROR(__xludf.DUMMYFUNCTION("""COMPUTED_VALUE"""),"Bangladesh")</f>
        <v>Bangladesh</v>
      </c>
      <c r="G40" s="5" t="str">
        <f>IFERROR(__xludf.DUMMYFUNCTION("""COMPUTED_VALUE"""),"Wheat")</f>
        <v>Wheat</v>
      </c>
      <c r="H40" s="6">
        <f>IFERROR(__xludf.DUMMYFUNCTION("""COMPUTED_VALUE"""),33000.0)</f>
        <v>33000</v>
      </c>
      <c r="I40" s="7">
        <f>IFERROR(__xludf.DUMMYFUNCTION("""COMPUTED_VALUE"""),45083.0)</f>
        <v>45083</v>
      </c>
      <c r="J40" s="7">
        <f>IFERROR(__xludf.DUMMYFUNCTION("""COMPUTED_VALUE"""),45093.0)</f>
        <v>45093</v>
      </c>
      <c r="K40" s="5" t="str">
        <f>IFERROR(__xludf.DUMMYFUNCTION("""COMPUTED_VALUE"""),"lower-middle income")</f>
        <v>lower-middle income</v>
      </c>
      <c r="L40" s="5" t="str">
        <f>IFERROR(__xludf.DUMMYFUNCTION("""COMPUTED_VALUE"""),"Panama")</f>
        <v>Panama</v>
      </c>
      <c r="M40" s="5" t="str">
        <f>IFERROR(__xludf.DUMMYFUNCTION("""COMPUTED_VALUE"""),"South Asia")</f>
        <v>South Asia</v>
      </c>
      <c r="N40" s="5" t="str">
        <f>IFERROR(__xludf.DUMMYFUNCTION("""COMPUTED_VALUE"""),"Asia-Pacific")</f>
        <v>Asia-Pacific</v>
      </c>
      <c r="O40" s="5" t="str">
        <f>IFERROR(__xludf.DUMMYFUNCTION("""COMPUTED_VALUE"""),"developing")</f>
        <v>developing</v>
      </c>
      <c r="P40" s="5"/>
      <c r="Q40" s="5"/>
    </row>
    <row r="41">
      <c r="A41" s="5" t="str">
        <f>IFERROR(__xludf.DUMMYFUNCTION("""COMPUTED_VALUE"""),"Outbound")</f>
        <v>Outbound</v>
      </c>
      <c r="B41" s="5">
        <f>IFERROR(__xludf.DUMMYFUNCTION("""COMPUTED_VALUE"""),969.0)</f>
        <v>969</v>
      </c>
      <c r="C41" s="5" t="str">
        <f>IFERROR(__xludf.DUMMYFUNCTION("""COMPUTED_VALUE"""),"PHOENIX DAWN")</f>
        <v>PHOENIX DAWN</v>
      </c>
      <c r="D41" s="5">
        <f>IFERROR(__xludf.DUMMYFUNCTION("""COMPUTED_VALUE"""),8204731.0)</f>
        <v>8204731</v>
      </c>
      <c r="E41" s="5" t="str">
        <f>IFERROR(__xludf.DUMMYFUNCTION("""COMPUTED_VALUE"""),"Odesa")</f>
        <v>Odesa</v>
      </c>
      <c r="F41" s="5" t="str">
        <f>IFERROR(__xludf.DUMMYFUNCTION("""COMPUTED_VALUE"""),"Türkiye")</f>
        <v>Türkiye</v>
      </c>
      <c r="G41" s="5" t="str">
        <f>IFERROR(__xludf.DUMMYFUNCTION("""COMPUTED_VALUE"""),"Wheat")</f>
        <v>Wheat</v>
      </c>
      <c r="H41" s="6">
        <f>IFERROR(__xludf.DUMMYFUNCTION("""COMPUTED_VALUE"""),35100.0)</f>
        <v>35100</v>
      </c>
      <c r="I41" s="7">
        <f>IFERROR(__xludf.DUMMYFUNCTION("""COMPUTED_VALUE"""),45083.0)</f>
        <v>45083</v>
      </c>
      <c r="J41" s="7">
        <f>IFERROR(__xludf.DUMMYFUNCTION("""COMPUTED_VALUE"""),45088.0)</f>
        <v>45088</v>
      </c>
      <c r="K41" s="5" t="str">
        <f>IFERROR(__xludf.DUMMYFUNCTION("""COMPUTED_VALUE"""),"upper-middle-income")</f>
        <v>upper-middle-income</v>
      </c>
      <c r="L41" s="5" t="str">
        <f>IFERROR(__xludf.DUMMYFUNCTION("""COMPUTED_VALUE"""),"Panama")</f>
        <v>Panama</v>
      </c>
      <c r="M41" s="5" t="str">
        <f>IFERROR(__xludf.DUMMYFUNCTION("""COMPUTED_VALUE"""),"Europe &amp; Central Asia")</f>
        <v>Europe &amp; Central Asia</v>
      </c>
      <c r="N41" s="5" t="str">
        <f>IFERROR(__xludf.DUMMYFUNCTION("""COMPUTED_VALUE"""),"Asia-Pacific")</f>
        <v>Asia-Pacific</v>
      </c>
      <c r="O41" s="5" t="str">
        <f>IFERROR(__xludf.DUMMYFUNCTION("""COMPUTED_VALUE"""),"developing")</f>
        <v>developing</v>
      </c>
      <c r="P41" s="5"/>
      <c r="Q41" s="5"/>
    </row>
    <row r="42">
      <c r="A42" s="5" t="str">
        <f>IFERROR(__xludf.DUMMYFUNCTION("""COMPUTED_VALUE"""),"Outbound")</f>
        <v>Outbound</v>
      </c>
      <c r="B42" s="5">
        <f>IFERROR(__xludf.DUMMYFUNCTION("""COMPUTED_VALUE"""),968.0)</f>
        <v>968</v>
      </c>
      <c r="C42" s="5" t="str">
        <f>IFERROR(__xludf.DUMMYFUNCTION("""COMPUTED_VALUE"""),"NIKOLAOS S")</f>
        <v>NIKOLAOS S</v>
      </c>
      <c r="D42" s="5">
        <f>IFERROR(__xludf.DUMMYFUNCTION("""COMPUTED_VALUE"""),9473315.0)</f>
        <v>9473315</v>
      </c>
      <c r="E42" s="5" t="str">
        <f>IFERROR(__xludf.DUMMYFUNCTION("""COMPUTED_VALUE"""),"Chornomorsk")</f>
        <v>Chornomorsk</v>
      </c>
      <c r="F42" s="5" t="str">
        <f>IFERROR(__xludf.DUMMYFUNCTION("""COMPUTED_VALUE"""),"Israel")</f>
        <v>Israel</v>
      </c>
      <c r="G42" s="5" t="str">
        <f>IFERROR(__xludf.DUMMYFUNCTION("""COMPUTED_VALUE"""),"Corn")</f>
        <v>Corn</v>
      </c>
      <c r="H42" s="6">
        <f>IFERROR(__xludf.DUMMYFUNCTION("""COMPUTED_VALUE"""),61737.0)</f>
        <v>61737</v>
      </c>
      <c r="I42" s="7">
        <f>IFERROR(__xludf.DUMMYFUNCTION("""COMPUTED_VALUE"""),45082.0)</f>
        <v>45082</v>
      </c>
      <c r="J42" s="7">
        <f>IFERROR(__xludf.DUMMYFUNCTION("""COMPUTED_VALUE"""),45090.0)</f>
        <v>45090</v>
      </c>
      <c r="K42" s="5" t="str">
        <f>IFERROR(__xludf.DUMMYFUNCTION("""COMPUTED_VALUE"""),"high-income")</f>
        <v>high-income</v>
      </c>
      <c r="L42" s="5" t="str">
        <f>IFERROR(__xludf.DUMMYFUNCTION("""COMPUTED_VALUE"""),"Liberia")</f>
        <v>Liberia</v>
      </c>
      <c r="M42" s="5" t="str">
        <f>IFERROR(__xludf.DUMMYFUNCTION("""COMPUTED_VALUE"""),"Middle East &amp; North Africa")</f>
        <v>Middle East &amp; North Africa</v>
      </c>
      <c r="N42" s="5" t="str">
        <f>IFERROR(__xludf.DUMMYFUNCTION("""COMPUTED_VALUE"""),"Western Europe and Others")</f>
        <v>Western Europe and Others</v>
      </c>
      <c r="O42" s="5" t="str">
        <f>IFERROR(__xludf.DUMMYFUNCTION("""COMPUTED_VALUE"""),"developed")</f>
        <v>developed</v>
      </c>
      <c r="P42" s="5"/>
      <c r="Q42" s="5"/>
    </row>
    <row r="43">
      <c r="A43" s="5" t="str">
        <f>IFERROR(__xludf.DUMMYFUNCTION("""COMPUTED_VALUE"""),"Outbound")</f>
        <v>Outbound</v>
      </c>
      <c r="B43" s="5">
        <f>IFERROR(__xludf.DUMMYFUNCTION("""COMPUTED_VALUE"""),967.0)</f>
        <v>967</v>
      </c>
      <c r="C43" s="5" t="str">
        <f>IFERROR(__xludf.DUMMYFUNCTION("""COMPUTED_VALUE"""),"NESTOR S")</f>
        <v>NESTOR S</v>
      </c>
      <c r="D43" s="5">
        <f>IFERROR(__xludf.DUMMYFUNCTION("""COMPUTED_VALUE"""),9473341.0)</f>
        <v>9473341</v>
      </c>
      <c r="E43" s="5" t="str">
        <f>IFERROR(__xludf.DUMMYFUNCTION("""COMPUTED_VALUE"""),"Chornomorsk")</f>
        <v>Chornomorsk</v>
      </c>
      <c r="F43" s="5" t="str">
        <f>IFERROR(__xludf.DUMMYFUNCTION("""COMPUTED_VALUE"""),"Israel")</f>
        <v>Israel</v>
      </c>
      <c r="G43" s="5" t="str">
        <f>IFERROR(__xludf.DUMMYFUNCTION("""COMPUTED_VALUE"""),"Corn")</f>
        <v>Corn</v>
      </c>
      <c r="H43" s="6">
        <f>IFERROR(__xludf.DUMMYFUNCTION("""COMPUTED_VALUE"""),64757.0)</f>
        <v>64757</v>
      </c>
      <c r="I43" s="7">
        <f>IFERROR(__xludf.DUMMYFUNCTION("""COMPUTED_VALUE"""),45082.0)</f>
        <v>45082</v>
      </c>
      <c r="J43" s="7">
        <f>IFERROR(__xludf.DUMMYFUNCTION("""COMPUTED_VALUE"""),45095.0)</f>
        <v>45095</v>
      </c>
      <c r="K43" s="5" t="str">
        <f>IFERROR(__xludf.DUMMYFUNCTION("""COMPUTED_VALUE"""),"high-income")</f>
        <v>high-income</v>
      </c>
      <c r="L43" s="5" t="str">
        <f>IFERROR(__xludf.DUMMYFUNCTION("""COMPUTED_VALUE"""),"Liberia")</f>
        <v>Liberia</v>
      </c>
      <c r="M43" s="5" t="str">
        <f>IFERROR(__xludf.DUMMYFUNCTION("""COMPUTED_VALUE"""),"Middle East &amp; North Africa")</f>
        <v>Middle East &amp; North Africa</v>
      </c>
      <c r="N43" s="5" t="str">
        <f>IFERROR(__xludf.DUMMYFUNCTION("""COMPUTED_VALUE"""),"Western Europe and Others")</f>
        <v>Western Europe and Others</v>
      </c>
      <c r="O43" s="5" t="str">
        <f>IFERROR(__xludf.DUMMYFUNCTION("""COMPUTED_VALUE"""),"developed")</f>
        <v>developed</v>
      </c>
      <c r="P43" s="5"/>
      <c r="Q43" s="5"/>
    </row>
    <row r="44">
      <c r="A44" s="5" t="str">
        <f>IFERROR(__xludf.DUMMYFUNCTION("""COMPUTED_VALUE"""),"Outbound")</f>
        <v>Outbound</v>
      </c>
      <c r="B44" s="5">
        <f>IFERROR(__xludf.DUMMYFUNCTION("""COMPUTED_VALUE"""),966.0)</f>
        <v>966</v>
      </c>
      <c r="C44" s="5" t="str">
        <f>IFERROR(__xludf.DUMMYFUNCTION("""COMPUTED_VALUE"""),"LUZON")</f>
        <v>LUZON</v>
      </c>
      <c r="D44" s="5">
        <f>IFERROR(__xludf.DUMMYFUNCTION("""COMPUTED_VALUE"""),9479008.0)</f>
        <v>9479008</v>
      </c>
      <c r="E44" s="5" t="str">
        <f>IFERROR(__xludf.DUMMYFUNCTION("""COMPUTED_VALUE"""),"Odesa")</f>
        <v>Odesa</v>
      </c>
      <c r="F44" s="5" t="str">
        <f>IFERROR(__xludf.DUMMYFUNCTION("""COMPUTED_VALUE"""),"Bangladesh")</f>
        <v>Bangladesh</v>
      </c>
      <c r="G44" s="5" t="str">
        <f>IFERROR(__xludf.DUMMYFUNCTION("""COMPUTED_VALUE"""),"Wheat")</f>
        <v>Wheat</v>
      </c>
      <c r="H44" s="6">
        <f>IFERROR(__xludf.DUMMYFUNCTION("""COMPUTED_VALUE"""),53550.0)</f>
        <v>53550</v>
      </c>
      <c r="I44" s="7">
        <f>IFERROR(__xludf.DUMMYFUNCTION("""COMPUTED_VALUE"""),45082.0)</f>
        <v>45082</v>
      </c>
      <c r="J44" s="7">
        <f>IFERROR(__xludf.DUMMYFUNCTION("""COMPUTED_VALUE"""),45092.0)</f>
        <v>45092</v>
      </c>
      <c r="K44" s="5" t="str">
        <f>IFERROR(__xludf.DUMMYFUNCTION("""COMPUTED_VALUE"""),"lower-middle income")</f>
        <v>lower-middle income</v>
      </c>
      <c r="L44" s="5" t="str">
        <f>IFERROR(__xludf.DUMMYFUNCTION("""COMPUTED_VALUE"""),"Liberia")</f>
        <v>Liberia</v>
      </c>
      <c r="M44" s="5" t="str">
        <f>IFERROR(__xludf.DUMMYFUNCTION("""COMPUTED_VALUE"""),"South Asia")</f>
        <v>South Asia</v>
      </c>
      <c r="N44" s="5" t="str">
        <f>IFERROR(__xludf.DUMMYFUNCTION("""COMPUTED_VALUE"""),"Asia-Pacific")</f>
        <v>Asia-Pacific</v>
      </c>
      <c r="O44" s="5" t="str">
        <f>IFERROR(__xludf.DUMMYFUNCTION("""COMPUTED_VALUE"""),"developing")</f>
        <v>developing</v>
      </c>
      <c r="P44" s="5"/>
      <c r="Q44" s="5"/>
    </row>
    <row r="45">
      <c r="A45" s="5" t="str">
        <f>IFERROR(__xludf.DUMMYFUNCTION("""COMPUTED_VALUE"""),"Outbound")</f>
        <v>Outbound</v>
      </c>
      <c r="B45" s="5">
        <f>IFERROR(__xludf.DUMMYFUNCTION("""COMPUTED_VALUE"""),965.0)</f>
        <v>965</v>
      </c>
      <c r="C45" s="5" t="str">
        <f>IFERROR(__xludf.DUMMYFUNCTION("""COMPUTED_VALUE"""),"ATALANTIS")</f>
        <v>ATALANTIS</v>
      </c>
      <c r="D45" s="5">
        <f>IFERROR(__xludf.DUMMYFUNCTION("""COMPUTED_VALUE"""),9002166.0)</f>
        <v>9002166</v>
      </c>
      <c r="E45" s="5" t="str">
        <f>IFERROR(__xludf.DUMMYFUNCTION("""COMPUTED_VALUE"""),"Odesa")</f>
        <v>Odesa</v>
      </c>
      <c r="F45" s="5" t="str">
        <f>IFERROR(__xludf.DUMMYFUNCTION("""COMPUTED_VALUE"""),"Spain")</f>
        <v>Spain</v>
      </c>
      <c r="G45" s="5" t="str">
        <f>IFERROR(__xludf.DUMMYFUNCTION("""COMPUTED_VALUE"""),"Corn")</f>
        <v>Corn</v>
      </c>
      <c r="H45" s="6">
        <f>IFERROR(__xludf.DUMMYFUNCTION("""COMPUTED_VALUE"""),14100.0)</f>
        <v>14100</v>
      </c>
      <c r="I45" s="7">
        <f>IFERROR(__xludf.DUMMYFUNCTION("""COMPUTED_VALUE"""),45082.0)</f>
        <v>45082</v>
      </c>
      <c r="J45" s="7">
        <f>IFERROR(__xludf.DUMMYFUNCTION("""COMPUTED_VALUE"""),45091.0)</f>
        <v>45091</v>
      </c>
      <c r="K45" s="5" t="str">
        <f>IFERROR(__xludf.DUMMYFUNCTION("""COMPUTED_VALUE"""),"high-income")</f>
        <v>high-income</v>
      </c>
      <c r="L45" s="5" t="str">
        <f>IFERROR(__xludf.DUMMYFUNCTION("""COMPUTED_VALUE"""),"Panama")</f>
        <v>Panama</v>
      </c>
      <c r="M45" s="5" t="str">
        <f>IFERROR(__xludf.DUMMYFUNCTION("""COMPUTED_VALUE"""),"Europe &amp; Central Asia")</f>
        <v>Europe &amp; Central Asia</v>
      </c>
      <c r="N45" s="5" t="str">
        <f>IFERROR(__xludf.DUMMYFUNCTION("""COMPUTED_VALUE"""),"Western Europe and Others")</f>
        <v>Western Europe and Others</v>
      </c>
      <c r="O45" s="5" t="str">
        <f>IFERROR(__xludf.DUMMYFUNCTION("""COMPUTED_VALUE"""),"developed")</f>
        <v>developed</v>
      </c>
      <c r="P45" s="5"/>
      <c r="Q45" s="5"/>
    </row>
    <row r="46">
      <c r="A46" s="5" t="str">
        <f>IFERROR(__xludf.DUMMYFUNCTION("""COMPUTED_VALUE"""),"Outbound +")</f>
        <v>Outbound +</v>
      </c>
      <c r="B46" s="5">
        <f>IFERROR(__xludf.DUMMYFUNCTION("""COMPUTED_VALUE"""),965.0)</f>
        <v>965</v>
      </c>
      <c r="C46" s="5" t="str">
        <f>IFERROR(__xludf.DUMMYFUNCTION("""COMPUTED_VALUE"""),"ATALANTIS")</f>
        <v>ATALANTIS</v>
      </c>
      <c r="D46" s="5">
        <f>IFERROR(__xludf.DUMMYFUNCTION("""COMPUTED_VALUE"""),9002166.0)</f>
        <v>9002166</v>
      </c>
      <c r="E46" s="5" t="str">
        <f>IFERROR(__xludf.DUMMYFUNCTION("""COMPUTED_VALUE"""),"Odesa")</f>
        <v>Odesa</v>
      </c>
      <c r="F46" s="5" t="str">
        <f>IFERROR(__xludf.DUMMYFUNCTION("""COMPUTED_VALUE"""),"Spain")</f>
        <v>Spain</v>
      </c>
      <c r="G46" s="5" t="str">
        <f>IFERROR(__xludf.DUMMYFUNCTION("""COMPUTED_VALUE"""),"Wheat")</f>
        <v>Wheat</v>
      </c>
      <c r="H46" s="6">
        <f>IFERROR(__xludf.DUMMYFUNCTION("""COMPUTED_VALUE"""),10900.0)</f>
        <v>10900</v>
      </c>
      <c r="I46" s="7">
        <f>IFERROR(__xludf.DUMMYFUNCTION("""COMPUTED_VALUE"""),45082.0)</f>
        <v>45082</v>
      </c>
      <c r="J46" s="7">
        <f>IFERROR(__xludf.DUMMYFUNCTION("""COMPUTED_VALUE"""),45091.0)</f>
        <v>45091</v>
      </c>
      <c r="K46" s="5" t="str">
        <f>IFERROR(__xludf.DUMMYFUNCTION("""COMPUTED_VALUE"""),"high-income")</f>
        <v>high-income</v>
      </c>
      <c r="L46" s="5" t="str">
        <f>IFERROR(__xludf.DUMMYFUNCTION("""COMPUTED_VALUE"""),"Panama")</f>
        <v>Panama</v>
      </c>
      <c r="M46" s="5" t="str">
        <f>IFERROR(__xludf.DUMMYFUNCTION("""COMPUTED_VALUE"""),"Europe &amp; Central Asia")</f>
        <v>Europe &amp; Central Asia</v>
      </c>
      <c r="N46" s="5" t="str">
        <f>IFERROR(__xludf.DUMMYFUNCTION("""COMPUTED_VALUE"""),"Western Europe and Others")</f>
        <v>Western Europe and Others</v>
      </c>
      <c r="O46" s="5" t="str">
        <f>IFERROR(__xludf.DUMMYFUNCTION("""COMPUTED_VALUE"""),"developed")</f>
        <v>developed</v>
      </c>
      <c r="P46" s="5"/>
      <c r="Q46" s="5"/>
    </row>
    <row r="47">
      <c r="A47" s="5" t="str">
        <f>IFERROR(__xludf.DUMMYFUNCTION("""COMPUTED_VALUE"""),"Outbound")</f>
        <v>Outbound</v>
      </c>
      <c r="B47" s="5">
        <f>IFERROR(__xludf.DUMMYFUNCTION("""COMPUTED_VALUE"""),964.0)</f>
        <v>964</v>
      </c>
      <c r="C47" s="5" t="str">
        <f>IFERROR(__xludf.DUMMYFUNCTION("""COMPUTED_VALUE"""),"LADY AYANA")</f>
        <v>LADY AYANA</v>
      </c>
      <c r="D47" s="5">
        <f>IFERROR(__xludf.DUMMYFUNCTION("""COMPUTED_VALUE"""),9196395.0)</f>
        <v>9196395</v>
      </c>
      <c r="E47" s="5" t="str">
        <f>IFERROR(__xludf.DUMMYFUNCTION("""COMPUTED_VALUE"""),"Chornomorsk")</f>
        <v>Chornomorsk</v>
      </c>
      <c r="F47" s="5" t="str">
        <f>IFERROR(__xludf.DUMMYFUNCTION("""COMPUTED_VALUE"""),"Spain")</f>
        <v>Spain</v>
      </c>
      <c r="G47" s="5" t="str">
        <f>IFERROR(__xludf.DUMMYFUNCTION("""COMPUTED_VALUE"""),"Corn")</f>
        <v>Corn</v>
      </c>
      <c r="H47" s="6">
        <f>IFERROR(__xludf.DUMMYFUNCTION("""COMPUTED_VALUE"""),26347.0)</f>
        <v>26347</v>
      </c>
      <c r="I47" s="7">
        <f>IFERROR(__xludf.DUMMYFUNCTION("""COMPUTED_VALUE"""),45081.0)</f>
        <v>45081</v>
      </c>
      <c r="J47" s="7">
        <f>IFERROR(__xludf.DUMMYFUNCTION("""COMPUTED_VALUE"""),45089.0)</f>
        <v>45089</v>
      </c>
      <c r="K47" s="5" t="str">
        <f>IFERROR(__xludf.DUMMYFUNCTION("""COMPUTED_VALUE"""),"high-income")</f>
        <v>high-income</v>
      </c>
      <c r="L47" s="5" t="str">
        <f>IFERROR(__xludf.DUMMYFUNCTION("""COMPUTED_VALUE"""),"Barbados")</f>
        <v>Barbados</v>
      </c>
      <c r="M47" s="5" t="str">
        <f>IFERROR(__xludf.DUMMYFUNCTION("""COMPUTED_VALUE"""),"Europe &amp; Central Asia")</f>
        <v>Europe &amp; Central Asia</v>
      </c>
      <c r="N47" s="5" t="str">
        <f>IFERROR(__xludf.DUMMYFUNCTION("""COMPUTED_VALUE"""),"Western Europe and Others")</f>
        <v>Western Europe and Others</v>
      </c>
      <c r="O47" s="5" t="str">
        <f>IFERROR(__xludf.DUMMYFUNCTION("""COMPUTED_VALUE"""),"developed")</f>
        <v>developed</v>
      </c>
      <c r="P47" s="5"/>
      <c r="Q47" s="5"/>
    </row>
    <row r="48">
      <c r="A48" s="5" t="str">
        <f>IFERROR(__xludf.DUMMYFUNCTION("""COMPUTED_VALUE"""),"Outbound")</f>
        <v>Outbound</v>
      </c>
      <c r="B48" s="5">
        <f>IFERROR(__xludf.DUMMYFUNCTION("""COMPUTED_VALUE"""),963.0)</f>
        <v>963</v>
      </c>
      <c r="C48" s="5" t="str">
        <f>IFERROR(__xludf.DUMMYFUNCTION("""COMPUTED_VALUE"""),"YING HAO 02")</f>
        <v>YING HAO 02</v>
      </c>
      <c r="D48" s="5">
        <f>IFERROR(__xludf.DUMMYFUNCTION("""COMPUTED_VALUE"""),9500302.0)</f>
        <v>9500302</v>
      </c>
      <c r="E48" s="5" t="str">
        <f>IFERROR(__xludf.DUMMYFUNCTION("""COMPUTED_VALUE"""),"Odesa")</f>
        <v>Odesa</v>
      </c>
      <c r="F48" s="5" t="str">
        <f>IFERROR(__xludf.DUMMYFUNCTION("""COMPUTED_VALUE"""),"China")</f>
        <v>China</v>
      </c>
      <c r="G48" s="5" t="str">
        <f>IFERROR(__xludf.DUMMYFUNCTION("""COMPUTED_VALUE"""),"Corn")</f>
        <v>Corn</v>
      </c>
      <c r="H48" s="6">
        <f>IFERROR(__xludf.DUMMYFUNCTION("""COMPUTED_VALUE"""),65657.0)</f>
        <v>65657</v>
      </c>
      <c r="I48" s="7">
        <f>IFERROR(__xludf.DUMMYFUNCTION("""COMPUTED_VALUE"""),45080.0)</f>
        <v>45080</v>
      </c>
      <c r="J48" s="7">
        <f>IFERROR(__xludf.DUMMYFUNCTION("""COMPUTED_VALUE"""),45087.0)</f>
        <v>45087</v>
      </c>
      <c r="K48" s="5" t="str">
        <f>IFERROR(__xludf.DUMMYFUNCTION("""COMPUTED_VALUE"""),"upper-middle-income")</f>
        <v>upper-middle-income</v>
      </c>
      <c r="L48" s="5" t="str">
        <f>IFERROR(__xludf.DUMMYFUNCTION("""COMPUTED_VALUE"""),"Hong Kong")</f>
        <v>Hong Kong</v>
      </c>
      <c r="M48" s="5" t="str">
        <f>IFERROR(__xludf.DUMMYFUNCTION("""COMPUTED_VALUE"""),"East Asia &amp; Pacific")</f>
        <v>East Asia &amp; Pacific</v>
      </c>
      <c r="N48" s="5" t="str">
        <f>IFERROR(__xludf.DUMMYFUNCTION("""COMPUTED_VALUE"""),"Asia-Pacific")</f>
        <v>Asia-Pacific</v>
      </c>
      <c r="O48" s="5" t="str">
        <f>IFERROR(__xludf.DUMMYFUNCTION("""COMPUTED_VALUE"""),"developing")</f>
        <v>developing</v>
      </c>
      <c r="P48" s="5"/>
      <c r="Q48" s="5"/>
    </row>
    <row r="49">
      <c r="A49" s="5" t="str">
        <f>IFERROR(__xludf.DUMMYFUNCTION("""COMPUTED_VALUE"""),"Outbound")</f>
        <v>Outbound</v>
      </c>
      <c r="B49" s="5">
        <f>IFERROR(__xludf.DUMMYFUNCTION("""COMPUTED_VALUE"""),962.0)</f>
        <v>962</v>
      </c>
      <c r="C49" s="5" t="str">
        <f>IFERROR(__xludf.DUMMYFUNCTION("""COMPUTED_VALUE"""),"KYDONIA")</f>
        <v>KYDONIA</v>
      </c>
      <c r="D49" s="5">
        <f>IFERROR(__xludf.DUMMYFUNCTION("""COMPUTED_VALUE"""),9588615.0)</f>
        <v>9588615</v>
      </c>
      <c r="E49" s="5" t="str">
        <f>IFERROR(__xludf.DUMMYFUNCTION("""COMPUTED_VALUE"""),"Chornomorsk")</f>
        <v>Chornomorsk</v>
      </c>
      <c r="F49" s="5" t="str">
        <f>IFERROR(__xludf.DUMMYFUNCTION("""COMPUTED_VALUE"""),"China")</f>
        <v>China</v>
      </c>
      <c r="G49" s="5" t="str">
        <f>IFERROR(__xludf.DUMMYFUNCTION("""COMPUTED_VALUE"""),"Corn")</f>
        <v>Corn</v>
      </c>
      <c r="H49" s="6">
        <f>IFERROR(__xludf.DUMMYFUNCTION("""COMPUTED_VALUE"""),75790.0)</f>
        <v>75790</v>
      </c>
      <c r="I49" s="7">
        <f>IFERROR(__xludf.DUMMYFUNCTION("""COMPUTED_VALUE"""),45080.0)</f>
        <v>45080</v>
      </c>
      <c r="J49" s="7">
        <f>IFERROR(__xludf.DUMMYFUNCTION("""COMPUTED_VALUE"""),45086.0)</f>
        <v>45086</v>
      </c>
      <c r="K49" s="5" t="str">
        <f>IFERROR(__xludf.DUMMYFUNCTION("""COMPUTED_VALUE"""),"upper-middle-income")</f>
        <v>upper-middle-income</v>
      </c>
      <c r="L49" s="5" t="str">
        <f>IFERROR(__xludf.DUMMYFUNCTION("""COMPUTED_VALUE"""),"Greece")</f>
        <v>Greece</v>
      </c>
      <c r="M49" s="5" t="str">
        <f>IFERROR(__xludf.DUMMYFUNCTION("""COMPUTED_VALUE"""),"East Asia &amp; Pacific")</f>
        <v>East Asia &amp; Pacific</v>
      </c>
      <c r="N49" s="5" t="str">
        <f>IFERROR(__xludf.DUMMYFUNCTION("""COMPUTED_VALUE"""),"Asia-Pacific")</f>
        <v>Asia-Pacific</v>
      </c>
      <c r="O49" s="5" t="str">
        <f>IFERROR(__xludf.DUMMYFUNCTION("""COMPUTED_VALUE"""),"developing")</f>
        <v>developing</v>
      </c>
      <c r="P49" s="5"/>
      <c r="Q49" s="5"/>
    </row>
    <row r="50">
      <c r="A50" s="5" t="str">
        <f>IFERROR(__xludf.DUMMYFUNCTION("""COMPUTED_VALUE"""),"Outbound")</f>
        <v>Outbound</v>
      </c>
      <c r="B50" s="5">
        <f>IFERROR(__xludf.DUMMYFUNCTION("""COMPUTED_VALUE"""),961.0)</f>
        <v>961</v>
      </c>
      <c r="C50" s="5" t="str">
        <f>IFERROR(__xludf.DUMMYFUNCTION("""COMPUTED_VALUE"""),"ELENA VE")</f>
        <v>ELENA VE</v>
      </c>
      <c r="D50" s="5">
        <f>IFERROR(__xludf.DUMMYFUNCTION("""COMPUTED_VALUE"""),9453066.0)</f>
        <v>9453066</v>
      </c>
      <c r="E50" s="5" t="str">
        <f>IFERROR(__xludf.DUMMYFUNCTION("""COMPUTED_VALUE"""),"Chornomorsk")</f>
        <v>Chornomorsk</v>
      </c>
      <c r="F50" s="5" t="str">
        <f>IFERROR(__xludf.DUMMYFUNCTION("""COMPUTED_VALUE"""),"Spain")</f>
        <v>Spain</v>
      </c>
      <c r="G50" s="5" t="str">
        <f>IFERROR(__xludf.DUMMYFUNCTION("""COMPUTED_VALUE"""),"Wheat")</f>
        <v>Wheat</v>
      </c>
      <c r="H50" s="6">
        <f>IFERROR(__xludf.DUMMYFUNCTION("""COMPUTED_VALUE"""),64400.0)</f>
        <v>64400</v>
      </c>
      <c r="I50" s="7">
        <f>IFERROR(__xludf.DUMMYFUNCTION("""COMPUTED_VALUE"""),45080.0)</f>
        <v>45080</v>
      </c>
      <c r="J50" s="7">
        <f>IFERROR(__xludf.DUMMYFUNCTION("""COMPUTED_VALUE"""),45087.0)</f>
        <v>45087</v>
      </c>
      <c r="K50" s="5" t="str">
        <f>IFERROR(__xludf.DUMMYFUNCTION("""COMPUTED_VALUE"""),"high-income")</f>
        <v>high-income</v>
      </c>
      <c r="L50" s="5" t="str">
        <f>IFERROR(__xludf.DUMMYFUNCTION("""COMPUTED_VALUE"""),"Liberia")</f>
        <v>Liberia</v>
      </c>
      <c r="M50" s="5" t="str">
        <f>IFERROR(__xludf.DUMMYFUNCTION("""COMPUTED_VALUE"""),"Europe &amp; Central Asia")</f>
        <v>Europe &amp; Central Asia</v>
      </c>
      <c r="N50" s="5" t="str">
        <f>IFERROR(__xludf.DUMMYFUNCTION("""COMPUTED_VALUE"""),"Western Europe and Others")</f>
        <v>Western Europe and Others</v>
      </c>
      <c r="O50" s="5" t="str">
        <f>IFERROR(__xludf.DUMMYFUNCTION("""COMPUTED_VALUE"""),"developed")</f>
        <v>developed</v>
      </c>
      <c r="P50" s="5"/>
      <c r="Q50" s="5"/>
    </row>
    <row r="51">
      <c r="A51" s="5" t="str">
        <f>IFERROR(__xludf.DUMMYFUNCTION("""COMPUTED_VALUE"""),"Outbound")</f>
        <v>Outbound</v>
      </c>
      <c r="B51" s="5">
        <f>IFERROR(__xludf.DUMMYFUNCTION("""COMPUTED_VALUE"""),960.0)</f>
        <v>960</v>
      </c>
      <c r="C51" s="5" t="str">
        <f>IFERROR(__xludf.DUMMYFUNCTION("""COMPUTED_VALUE"""),"ZERMATT")</f>
        <v>ZERMATT</v>
      </c>
      <c r="D51" s="5">
        <f>IFERROR(__xludf.DUMMYFUNCTION("""COMPUTED_VALUE"""),9634830.0)</f>
        <v>9634830</v>
      </c>
      <c r="E51" s="5" t="str">
        <f>IFERROR(__xludf.DUMMYFUNCTION("""COMPUTED_VALUE"""),"Odesa")</f>
        <v>Odesa</v>
      </c>
      <c r="F51" s="5" t="str">
        <f>IFERROR(__xludf.DUMMYFUNCTION("""COMPUTED_VALUE"""),"China")</f>
        <v>China</v>
      </c>
      <c r="G51" s="5" t="str">
        <f>IFERROR(__xludf.DUMMYFUNCTION("""COMPUTED_VALUE"""),"Corn")</f>
        <v>Corn</v>
      </c>
      <c r="H51" s="6">
        <f>IFERROR(__xludf.DUMMYFUNCTION("""COMPUTED_VALUE"""),67440.0)</f>
        <v>67440</v>
      </c>
      <c r="I51" s="7">
        <f>IFERROR(__xludf.DUMMYFUNCTION("""COMPUTED_VALUE"""),45079.0)</f>
        <v>45079</v>
      </c>
      <c r="J51" s="7">
        <f>IFERROR(__xludf.DUMMYFUNCTION("""COMPUTED_VALUE"""),45085.0)</f>
        <v>45085</v>
      </c>
      <c r="K51" s="5" t="str">
        <f>IFERROR(__xludf.DUMMYFUNCTION("""COMPUTED_VALUE"""),"upper-middle-income")</f>
        <v>upper-middle-income</v>
      </c>
      <c r="L51" s="5" t="str">
        <f>IFERROR(__xludf.DUMMYFUNCTION("""COMPUTED_VALUE"""),"Marshall Islands")</f>
        <v>Marshall Islands</v>
      </c>
      <c r="M51" s="5" t="str">
        <f>IFERROR(__xludf.DUMMYFUNCTION("""COMPUTED_VALUE"""),"East Asia &amp; Pacific")</f>
        <v>East Asia &amp; Pacific</v>
      </c>
      <c r="N51" s="5" t="str">
        <f>IFERROR(__xludf.DUMMYFUNCTION("""COMPUTED_VALUE"""),"Asia-Pacific")</f>
        <v>Asia-Pacific</v>
      </c>
      <c r="O51" s="5" t="str">
        <f>IFERROR(__xludf.DUMMYFUNCTION("""COMPUTED_VALUE"""),"developing")</f>
        <v>developing</v>
      </c>
      <c r="P51" s="5"/>
      <c r="Q51" s="5"/>
    </row>
    <row r="52">
      <c r="A52" s="5" t="str">
        <f>IFERROR(__xludf.DUMMYFUNCTION("""COMPUTED_VALUE"""),"Outbound")</f>
        <v>Outbound</v>
      </c>
      <c r="B52" s="5">
        <f>IFERROR(__xludf.DUMMYFUNCTION("""COMPUTED_VALUE"""),959.0)</f>
        <v>959</v>
      </c>
      <c r="C52" s="5" t="str">
        <f>IFERROR(__xludf.DUMMYFUNCTION("""COMPUTED_VALUE"""),"NEW EXPLORER")</f>
        <v>NEW EXPLORER</v>
      </c>
      <c r="D52" s="5">
        <f>IFERROR(__xludf.DUMMYFUNCTION("""COMPUTED_VALUE"""),9481489.0)</f>
        <v>9481489</v>
      </c>
      <c r="E52" s="5" t="str">
        <f>IFERROR(__xludf.DUMMYFUNCTION("""COMPUTED_VALUE"""),"Chornomorsk")</f>
        <v>Chornomorsk</v>
      </c>
      <c r="F52" s="5" t="str">
        <f>IFERROR(__xludf.DUMMYFUNCTION("""COMPUTED_VALUE"""),"China")</f>
        <v>China</v>
      </c>
      <c r="G52" s="5" t="str">
        <f>IFERROR(__xludf.DUMMYFUNCTION("""COMPUTED_VALUE"""),"Sunflower meal")</f>
        <v>Sunflower meal</v>
      </c>
      <c r="H52" s="6">
        <f>IFERROR(__xludf.DUMMYFUNCTION("""COMPUTED_VALUE"""),61922.0)</f>
        <v>61922</v>
      </c>
      <c r="I52" s="7">
        <f>IFERROR(__xludf.DUMMYFUNCTION("""COMPUTED_VALUE"""),45078.0)</f>
        <v>45078</v>
      </c>
      <c r="J52" s="7">
        <f>IFERROR(__xludf.DUMMYFUNCTION("""COMPUTED_VALUE"""),45085.0)</f>
        <v>45085</v>
      </c>
      <c r="K52" s="5" t="str">
        <f>IFERROR(__xludf.DUMMYFUNCTION("""COMPUTED_VALUE"""),"upper-middle-income")</f>
        <v>upper-middle-income</v>
      </c>
      <c r="L52" s="5" t="str">
        <f>IFERROR(__xludf.DUMMYFUNCTION("""COMPUTED_VALUE"""),"Libera")</f>
        <v>Libera</v>
      </c>
      <c r="M52" s="5" t="str">
        <f>IFERROR(__xludf.DUMMYFUNCTION("""COMPUTED_VALUE"""),"East Asia &amp; Pacific")</f>
        <v>East Asia &amp; Pacific</v>
      </c>
      <c r="N52" s="5" t="str">
        <f>IFERROR(__xludf.DUMMYFUNCTION("""COMPUTED_VALUE"""),"Asia-Pacific")</f>
        <v>Asia-Pacific</v>
      </c>
      <c r="O52" s="5" t="str">
        <f>IFERROR(__xludf.DUMMYFUNCTION("""COMPUTED_VALUE"""),"developing")</f>
        <v>developing</v>
      </c>
      <c r="P52" s="5"/>
      <c r="Q52" s="5"/>
    </row>
    <row r="53">
      <c r="A53" s="5" t="str">
        <f>IFERROR(__xludf.DUMMYFUNCTION("""COMPUTED_VALUE"""),"Outbound")</f>
        <v>Outbound</v>
      </c>
      <c r="B53" s="5">
        <f>IFERROR(__xludf.DUMMYFUNCTION("""COMPUTED_VALUE"""),958.0)</f>
        <v>958</v>
      </c>
      <c r="C53" s="5" t="str">
        <f>IFERROR(__xludf.DUMMYFUNCTION("""COMPUTED_VALUE"""),"DONNA JUDI")</f>
        <v>DONNA JUDI</v>
      </c>
      <c r="D53" s="5">
        <f>IFERROR(__xludf.DUMMYFUNCTION("""COMPUTED_VALUE"""),9519171.0)</f>
        <v>9519171</v>
      </c>
      <c r="E53" s="5" t="str">
        <f>IFERROR(__xludf.DUMMYFUNCTION("""COMPUTED_VALUE"""),"Chornomorsk")</f>
        <v>Chornomorsk</v>
      </c>
      <c r="F53" s="5" t="str">
        <f>IFERROR(__xludf.DUMMYFUNCTION("""COMPUTED_VALUE"""),"Spain")</f>
        <v>Spain</v>
      </c>
      <c r="G53" s="5" t="str">
        <f>IFERROR(__xludf.DUMMYFUNCTION("""COMPUTED_VALUE"""),"Wheat")</f>
        <v>Wheat</v>
      </c>
      <c r="H53" s="6">
        <f>IFERROR(__xludf.DUMMYFUNCTION("""COMPUTED_VALUE"""),33000.0)</f>
        <v>33000</v>
      </c>
      <c r="I53" s="7">
        <f>IFERROR(__xludf.DUMMYFUNCTION("""COMPUTED_VALUE"""),45077.0)</f>
        <v>45077</v>
      </c>
      <c r="J53" s="7">
        <f>IFERROR(__xludf.DUMMYFUNCTION("""COMPUTED_VALUE"""),45084.0)</f>
        <v>45084</v>
      </c>
      <c r="K53" s="5" t="str">
        <f>IFERROR(__xludf.DUMMYFUNCTION("""COMPUTED_VALUE"""),"high-income")</f>
        <v>high-income</v>
      </c>
      <c r="L53" s="5" t="str">
        <f>IFERROR(__xludf.DUMMYFUNCTION("""COMPUTED_VALUE"""),"St. Vincent")</f>
        <v>St. Vincent</v>
      </c>
      <c r="M53" s="5" t="str">
        <f>IFERROR(__xludf.DUMMYFUNCTION("""COMPUTED_VALUE"""),"Europe &amp; Central Asia")</f>
        <v>Europe &amp; Central Asia</v>
      </c>
      <c r="N53" s="5" t="str">
        <f>IFERROR(__xludf.DUMMYFUNCTION("""COMPUTED_VALUE"""),"Western Europe and Others")</f>
        <v>Western Europe and Others</v>
      </c>
      <c r="O53" s="5" t="str">
        <f>IFERROR(__xludf.DUMMYFUNCTION("""COMPUTED_VALUE"""),"developed")</f>
        <v>developed</v>
      </c>
      <c r="P53" s="5"/>
      <c r="Q53" s="5"/>
    </row>
    <row r="54">
      <c r="A54" s="5" t="str">
        <f>IFERROR(__xludf.DUMMYFUNCTION("""COMPUTED_VALUE"""),"Outbound")</f>
        <v>Outbound</v>
      </c>
      <c r="B54" s="5">
        <f>IFERROR(__xludf.DUMMYFUNCTION("""COMPUTED_VALUE"""),957.0)</f>
        <v>957</v>
      </c>
      <c r="C54" s="5" t="str">
        <f>IFERROR(__xludf.DUMMYFUNCTION("""COMPUTED_VALUE"""),"XIN SHUN")</f>
        <v>XIN SHUN</v>
      </c>
      <c r="D54" s="5">
        <f>IFERROR(__xludf.DUMMYFUNCTION("""COMPUTED_VALUE"""),9252199.0)</f>
        <v>9252199</v>
      </c>
      <c r="E54" s="5" t="str">
        <f>IFERROR(__xludf.DUMMYFUNCTION("""COMPUTED_VALUE"""),"Odesa")</f>
        <v>Odesa</v>
      </c>
      <c r="F54" s="5" t="str">
        <f>IFERROR(__xludf.DUMMYFUNCTION("""COMPUTED_VALUE"""),"China")</f>
        <v>China</v>
      </c>
      <c r="G54" s="5" t="str">
        <f>IFERROR(__xludf.DUMMYFUNCTION("""COMPUTED_VALUE"""),"Corn")</f>
        <v>Corn</v>
      </c>
      <c r="H54" s="6">
        <f>IFERROR(__xludf.DUMMYFUNCTION("""COMPUTED_VALUE"""),44000.0)</f>
        <v>44000</v>
      </c>
      <c r="I54" s="7">
        <f>IFERROR(__xludf.DUMMYFUNCTION("""COMPUTED_VALUE"""),45074.0)</f>
        <v>45074</v>
      </c>
      <c r="J54" s="7">
        <f>IFERROR(__xludf.DUMMYFUNCTION("""COMPUTED_VALUE"""),45077.0)</f>
        <v>45077</v>
      </c>
      <c r="K54" s="5" t="str">
        <f>IFERROR(__xludf.DUMMYFUNCTION("""COMPUTED_VALUE"""),"upper-middle-income")</f>
        <v>upper-middle-income</v>
      </c>
      <c r="L54" s="5" t="str">
        <f>IFERROR(__xludf.DUMMYFUNCTION("""COMPUTED_VALUE"""),"Panama")</f>
        <v>Panama</v>
      </c>
      <c r="M54" s="5" t="str">
        <f>IFERROR(__xludf.DUMMYFUNCTION("""COMPUTED_VALUE"""),"East Asia &amp; Pacific")</f>
        <v>East Asia &amp; Pacific</v>
      </c>
      <c r="N54" s="5" t="str">
        <f>IFERROR(__xludf.DUMMYFUNCTION("""COMPUTED_VALUE"""),"Asia-Pacific")</f>
        <v>Asia-Pacific</v>
      </c>
      <c r="O54" s="5" t="str">
        <f>IFERROR(__xludf.DUMMYFUNCTION("""COMPUTED_VALUE"""),"developing")</f>
        <v>developing</v>
      </c>
      <c r="P54" s="5"/>
      <c r="Q54" s="5"/>
    </row>
    <row r="55">
      <c r="A55" s="5" t="str">
        <f>IFERROR(__xludf.DUMMYFUNCTION("""COMPUTED_VALUE"""),"Outbound +")</f>
        <v>Outbound +</v>
      </c>
      <c r="B55" s="5">
        <f>IFERROR(__xludf.DUMMYFUNCTION("""COMPUTED_VALUE"""),957.0)</f>
        <v>957</v>
      </c>
      <c r="C55" s="5" t="str">
        <f>IFERROR(__xludf.DUMMYFUNCTION("""COMPUTED_VALUE"""),"XIN SHUN")</f>
        <v>XIN SHUN</v>
      </c>
      <c r="D55" s="5">
        <f>IFERROR(__xludf.DUMMYFUNCTION("""COMPUTED_VALUE"""),9252199.0)</f>
        <v>9252199</v>
      </c>
      <c r="E55" s="5" t="str">
        <f>IFERROR(__xludf.DUMMYFUNCTION("""COMPUTED_VALUE"""),"Odesa")</f>
        <v>Odesa</v>
      </c>
      <c r="F55" s="5" t="str">
        <f>IFERROR(__xludf.DUMMYFUNCTION("""COMPUTED_VALUE"""),"China")</f>
        <v>China</v>
      </c>
      <c r="G55" s="5" t="str">
        <f>IFERROR(__xludf.DUMMYFUNCTION("""COMPUTED_VALUE"""),"Barley")</f>
        <v>Barley</v>
      </c>
      <c r="H55" s="6">
        <f>IFERROR(__xludf.DUMMYFUNCTION("""COMPUTED_VALUE"""),19500.0)</f>
        <v>19500</v>
      </c>
      <c r="I55" s="7">
        <f>IFERROR(__xludf.DUMMYFUNCTION("""COMPUTED_VALUE"""),45074.0)</f>
        <v>45074</v>
      </c>
      <c r="J55" s="7">
        <f>IFERROR(__xludf.DUMMYFUNCTION("""COMPUTED_VALUE"""),45077.0)</f>
        <v>45077</v>
      </c>
      <c r="K55" s="5" t="str">
        <f>IFERROR(__xludf.DUMMYFUNCTION("""COMPUTED_VALUE"""),"upper-middle-income")</f>
        <v>upper-middle-income</v>
      </c>
      <c r="L55" s="5" t="str">
        <f>IFERROR(__xludf.DUMMYFUNCTION("""COMPUTED_VALUE"""),"Panama")</f>
        <v>Panama</v>
      </c>
      <c r="M55" s="5" t="str">
        <f>IFERROR(__xludf.DUMMYFUNCTION("""COMPUTED_VALUE"""),"East Asia &amp; Pacific")</f>
        <v>East Asia &amp; Pacific</v>
      </c>
      <c r="N55" s="5" t="str">
        <f>IFERROR(__xludf.DUMMYFUNCTION("""COMPUTED_VALUE"""),"Asia-Pacific")</f>
        <v>Asia-Pacific</v>
      </c>
      <c r="O55" s="5" t="str">
        <f>IFERROR(__xludf.DUMMYFUNCTION("""COMPUTED_VALUE"""),"developing")</f>
        <v>developing</v>
      </c>
      <c r="P55" s="5"/>
      <c r="Q55" s="5"/>
    </row>
    <row r="56">
      <c r="A56" s="5" t="str">
        <f>IFERROR(__xludf.DUMMYFUNCTION("""COMPUTED_VALUE"""),"Outbound")</f>
        <v>Outbound</v>
      </c>
      <c r="B56" s="5">
        <f>IFERROR(__xludf.DUMMYFUNCTION("""COMPUTED_VALUE"""),956.0)</f>
        <v>956</v>
      </c>
      <c r="C56" s="5" t="str">
        <f>IFERROR(__xludf.DUMMYFUNCTION("""COMPUTED_VALUE"""),"MAROULIO S")</f>
        <v>MAROULIO S</v>
      </c>
      <c r="D56" s="5">
        <f>IFERROR(__xludf.DUMMYFUNCTION("""COMPUTED_VALUE"""),9493511.0)</f>
        <v>9493511</v>
      </c>
      <c r="E56" s="5" t="str">
        <f>IFERROR(__xludf.DUMMYFUNCTION("""COMPUTED_VALUE"""),"Chornomorsk")</f>
        <v>Chornomorsk</v>
      </c>
      <c r="F56" s="5" t="str">
        <f>IFERROR(__xludf.DUMMYFUNCTION("""COMPUTED_VALUE"""),"Spain")</f>
        <v>Spain</v>
      </c>
      <c r="G56" s="5" t="str">
        <f>IFERROR(__xludf.DUMMYFUNCTION("""COMPUTED_VALUE"""),"Corn")</f>
        <v>Corn</v>
      </c>
      <c r="H56" s="6">
        <f>IFERROR(__xludf.DUMMYFUNCTION("""COMPUTED_VALUE"""),65838.0)</f>
        <v>65838</v>
      </c>
      <c r="I56" s="7">
        <f>IFERROR(__xludf.DUMMYFUNCTION("""COMPUTED_VALUE"""),45074.0)</f>
        <v>45074</v>
      </c>
      <c r="J56" s="7">
        <f>IFERROR(__xludf.DUMMYFUNCTION("""COMPUTED_VALUE"""),45082.0)</f>
        <v>45082</v>
      </c>
      <c r="K56" s="5" t="str">
        <f>IFERROR(__xludf.DUMMYFUNCTION("""COMPUTED_VALUE"""),"high-income")</f>
        <v>high-income</v>
      </c>
      <c r="L56" s="5" t="str">
        <f>IFERROR(__xludf.DUMMYFUNCTION("""COMPUTED_VALUE"""),"Liberia")</f>
        <v>Liberia</v>
      </c>
      <c r="M56" s="5" t="str">
        <f>IFERROR(__xludf.DUMMYFUNCTION("""COMPUTED_VALUE"""),"Europe &amp; Central Asia")</f>
        <v>Europe &amp; Central Asia</v>
      </c>
      <c r="N56" s="5" t="str">
        <f>IFERROR(__xludf.DUMMYFUNCTION("""COMPUTED_VALUE"""),"Western Europe and Others")</f>
        <v>Western Europe and Others</v>
      </c>
      <c r="O56" s="5" t="str">
        <f>IFERROR(__xludf.DUMMYFUNCTION("""COMPUTED_VALUE"""),"developed")</f>
        <v>developed</v>
      </c>
      <c r="P56" s="5"/>
      <c r="Q56" s="5"/>
    </row>
    <row r="57">
      <c r="A57" s="5" t="str">
        <f>IFERROR(__xludf.DUMMYFUNCTION("""COMPUTED_VALUE"""),"Outbound")</f>
        <v>Outbound</v>
      </c>
      <c r="B57" s="5">
        <f>IFERROR(__xludf.DUMMYFUNCTION("""COMPUTED_VALUE"""),955.0)</f>
        <v>955</v>
      </c>
      <c r="C57" s="5" t="str">
        <f>IFERROR(__xludf.DUMMYFUNCTION("""COMPUTED_VALUE"""),"F-LINE")</f>
        <v>F-LINE</v>
      </c>
      <c r="D57" s="5">
        <f>IFERROR(__xludf.DUMMYFUNCTION("""COMPUTED_VALUE"""),9320324.0)</f>
        <v>9320324</v>
      </c>
      <c r="E57" s="5" t="str">
        <f>IFERROR(__xludf.DUMMYFUNCTION("""COMPUTED_VALUE"""),"Odesa")</f>
        <v>Odesa</v>
      </c>
      <c r="F57" s="5" t="str">
        <f>IFERROR(__xludf.DUMMYFUNCTION("""COMPUTED_VALUE"""),"Egypt")</f>
        <v>Egypt</v>
      </c>
      <c r="G57" s="5" t="str">
        <f>IFERROR(__xludf.DUMMYFUNCTION("""COMPUTED_VALUE"""),"Corn")</f>
        <v>Corn</v>
      </c>
      <c r="H57" s="6">
        <f>IFERROR(__xludf.DUMMYFUNCTION("""COMPUTED_VALUE"""),17133.0)</f>
        <v>17133</v>
      </c>
      <c r="I57" s="7">
        <f>IFERROR(__xludf.DUMMYFUNCTION("""COMPUTED_VALUE"""),45074.0)</f>
        <v>45074</v>
      </c>
      <c r="J57" s="7">
        <f>IFERROR(__xludf.DUMMYFUNCTION("""COMPUTED_VALUE"""),45083.0)</f>
        <v>45083</v>
      </c>
      <c r="K57" s="5" t="str">
        <f>IFERROR(__xludf.DUMMYFUNCTION("""COMPUTED_VALUE"""),"lower-middle income")</f>
        <v>lower-middle income</v>
      </c>
      <c r="L57" s="5" t="str">
        <f>IFERROR(__xludf.DUMMYFUNCTION("""COMPUTED_VALUE"""),"Barbados")</f>
        <v>Barbados</v>
      </c>
      <c r="M57" s="5" t="str">
        <f>IFERROR(__xludf.DUMMYFUNCTION("""COMPUTED_VALUE"""),"Middle East &amp; North Africa")</f>
        <v>Middle East &amp; North Africa</v>
      </c>
      <c r="N57" s="5" t="str">
        <f>IFERROR(__xludf.DUMMYFUNCTION("""COMPUTED_VALUE"""),"Africa")</f>
        <v>Africa</v>
      </c>
      <c r="O57" s="5" t="str">
        <f>IFERROR(__xludf.DUMMYFUNCTION("""COMPUTED_VALUE"""),"developing")</f>
        <v>developing</v>
      </c>
      <c r="P57" s="5"/>
      <c r="Q57" s="5"/>
    </row>
    <row r="58">
      <c r="A58" s="5" t="str">
        <f>IFERROR(__xludf.DUMMYFUNCTION("""COMPUTED_VALUE"""),"Outbound +")</f>
        <v>Outbound +</v>
      </c>
      <c r="B58" s="5">
        <f>IFERROR(__xludf.DUMMYFUNCTION("""COMPUTED_VALUE"""),955.0)</f>
        <v>955</v>
      </c>
      <c r="C58" s="5" t="str">
        <f>IFERROR(__xludf.DUMMYFUNCTION("""COMPUTED_VALUE"""),"F-LINE")</f>
        <v>F-LINE</v>
      </c>
      <c r="D58" s="5">
        <f>IFERROR(__xludf.DUMMYFUNCTION("""COMPUTED_VALUE"""),9320324.0)</f>
        <v>9320324</v>
      </c>
      <c r="E58" s="5" t="str">
        <f>IFERROR(__xludf.DUMMYFUNCTION("""COMPUTED_VALUE"""),"Odesa")</f>
        <v>Odesa</v>
      </c>
      <c r="F58" s="5" t="str">
        <f>IFERROR(__xludf.DUMMYFUNCTION("""COMPUTED_VALUE"""),"Egypt")</f>
        <v>Egypt</v>
      </c>
      <c r="G58" s="5" t="str">
        <f>IFERROR(__xludf.DUMMYFUNCTION("""COMPUTED_VALUE"""),"Soya beans")</f>
        <v>Soya beans</v>
      </c>
      <c r="H58" s="6">
        <f>IFERROR(__xludf.DUMMYFUNCTION("""COMPUTED_VALUE"""),12000.0)</f>
        <v>12000</v>
      </c>
      <c r="I58" s="7">
        <f>IFERROR(__xludf.DUMMYFUNCTION("""COMPUTED_VALUE"""),45074.0)</f>
        <v>45074</v>
      </c>
      <c r="J58" s="7">
        <f>IFERROR(__xludf.DUMMYFUNCTION("""COMPUTED_VALUE"""),45083.0)</f>
        <v>45083</v>
      </c>
      <c r="K58" s="5" t="str">
        <f>IFERROR(__xludf.DUMMYFUNCTION("""COMPUTED_VALUE"""),"lower-middle income")</f>
        <v>lower-middle income</v>
      </c>
      <c r="L58" s="5" t="str">
        <f>IFERROR(__xludf.DUMMYFUNCTION("""COMPUTED_VALUE"""),"Barbados")</f>
        <v>Barbados</v>
      </c>
      <c r="M58" s="5" t="str">
        <f>IFERROR(__xludf.DUMMYFUNCTION("""COMPUTED_VALUE"""),"Middle East &amp; North Africa")</f>
        <v>Middle East &amp; North Africa</v>
      </c>
      <c r="N58" s="5" t="str">
        <f>IFERROR(__xludf.DUMMYFUNCTION("""COMPUTED_VALUE"""),"Africa")</f>
        <v>Africa</v>
      </c>
      <c r="O58" s="5" t="str">
        <f>IFERROR(__xludf.DUMMYFUNCTION("""COMPUTED_VALUE"""),"developing")</f>
        <v>developing</v>
      </c>
      <c r="P58" s="5"/>
      <c r="Q58" s="5"/>
    </row>
    <row r="59">
      <c r="A59" s="5" t="str">
        <f>IFERROR(__xludf.DUMMYFUNCTION("""COMPUTED_VALUE"""),"Outbound")</f>
        <v>Outbound</v>
      </c>
      <c r="B59" s="5">
        <f>IFERROR(__xludf.DUMMYFUNCTION("""COMPUTED_VALUE"""),954.0)</f>
        <v>954</v>
      </c>
      <c r="C59" s="5" t="str">
        <f>IFERROR(__xludf.DUMMYFUNCTION("""COMPUTED_VALUE"""),"ELEFSIS")</f>
        <v>ELEFSIS</v>
      </c>
      <c r="D59" s="5">
        <f>IFERROR(__xludf.DUMMYFUNCTION("""COMPUTED_VALUE"""),9118678.0)</f>
        <v>9118678</v>
      </c>
      <c r="E59" s="5" t="str">
        <f>IFERROR(__xludf.DUMMYFUNCTION("""COMPUTED_VALUE"""),"Chornomorsk")</f>
        <v>Chornomorsk</v>
      </c>
      <c r="F59" s="5" t="str">
        <f>IFERROR(__xludf.DUMMYFUNCTION("""COMPUTED_VALUE"""),"China")</f>
        <v>China</v>
      </c>
      <c r="G59" s="5" t="str">
        <f>IFERROR(__xludf.DUMMYFUNCTION("""COMPUTED_VALUE"""),"Corn")</f>
        <v>Corn</v>
      </c>
      <c r="H59" s="6">
        <f>IFERROR(__xludf.DUMMYFUNCTION("""COMPUTED_VALUE"""),64000.0)</f>
        <v>64000</v>
      </c>
      <c r="I59" s="7">
        <f>IFERROR(__xludf.DUMMYFUNCTION("""COMPUTED_VALUE"""),45074.0)</f>
        <v>45074</v>
      </c>
      <c r="J59" s="7">
        <f>IFERROR(__xludf.DUMMYFUNCTION("""COMPUTED_VALUE"""),45084.0)</f>
        <v>45084</v>
      </c>
      <c r="K59" s="5" t="str">
        <f>IFERROR(__xludf.DUMMYFUNCTION("""COMPUTED_VALUE"""),"upper-middle-income")</f>
        <v>upper-middle-income</v>
      </c>
      <c r="L59" s="5" t="str">
        <f>IFERROR(__xludf.DUMMYFUNCTION("""COMPUTED_VALUE"""),"Malta")</f>
        <v>Malta</v>
      </c>
      <c r="M59" s="5" t="str">
        <f>IFERROR(__xludf.DUMMYFUNCTION("""COMPUTED_VALUE"""),"East Asia &amp; Pacific")</f>
        <v>East Asia &amp; Pacific</v>
      </c>
      <c r="N59" s="5" t="str">
        <f>IFERROR(__xludf.DUMMYFUNCTION("""COMPUTED_VALUE"""),"Asia-Pacific")</f>
        <v>Asia-Pacific</v>
      </c>
      <c r="O59" s="5" t="str">
        <f>IFERROR(__xludf.DUMMYFUNCTION("""COMPUTED_VALUE"""),"developing")</f>
        <v>developing</v>
      </c>
      <c r="P59" s="5"/>
      <c r="Q59" s="5"/>
    </row>
    <row r="60">
      <c r="A60" s="5" t="str">
        <f>IFERROR(__xludf.DUMMYFUNCTION("""COMPUTED_VALUE"""),"Outbound")</f>
        <v>Outbound</v>
      </c>
      <c r="B60" s="5">
        <f>IFERROR(__xludf.DUMMYFUNCTION("""COMPUTED_VALUE"""),953.0)</f>
        <v>953</v>
      </c>
      <c r="C60" s="5" t="str">
        <f>IFERROR(__xludf.DUMMYFUNCTION("""COMPUTED_VALUE"""),"MEROVING")</f>
        <v>MEROVING</v>
      </c>
      <c r="D60" s="5">
        <f>IFERROR(__xludf.DUMMYFUNCTION("""COMPUTED_VALUE"""),9453614.0)</f>
        <v>9453614</v>
      </c>
      <c r="E60" s="5" t="str">
        <f>IFERROR(__xludf.DUMMYFUNCTION("""COMPUTED_VALUE"""),"Chornomorsk")</f>
        <v>Chornomorsk</v>
      </c>
      <c r="F60" s="5" t="str">
        <f>IFERROR(__xludf.DUMMYFUNCTION("""COMPUTED_VALUE"""),"Italy")</f>
        <v>Italy</v>
      </c>
      <c r="G60" s="5" t="str">
        <f>IFERROR(__xludf.DUMMYFUNCTION("""COMPUTED_VALUE"""),"Wheat")</f>
        <v>Wheat</v>
      </c>
      <c r="H60" s="6">
        <f>IFERROR(__xludf.DUMMYFUNCTION("""COMPUTED_VALUE"""),6800.0)</f>
        <v>6800</v>
      </c>
      <c r="I60" s="7">
        <f>IFERROR(__xludf.DUMMYFUNCTION("""COMPUTED_VALUE"""),45065.0)</f>
        <v>45065</v>
      </c>
      <c r="J60" s="7">
        <f>IFERROR(__xludf.DUMMYFUNCTION("""COMPUTED_VALUE"""),45069.0)</f>
        <v>45069</v>
      </c>
      <c r="K60" s="5" t="str">
        <f>IFERROR(__xludf.DUMMYFUNCTION("""COMPUTED_VALUE"""),"high-income")</f>
        <v>high-income</v>
      </c>
      <c r="L60" s="5" t="str">
        <f>IFERROR(__xludf.DUMMYFUNCTION("""COMPUTED_VALUE"""),"Malta")</f>
        <v>Malta</v>
      </c>
      <c r="M60" s="5" t="str">
        <f>IFERROR(__xludf.DUMMYFUNCTION("""COMPUTED_VALUE"""),"Europe &amp; Central Asia")</f>
        <v>Europe &amp; Central Asia</v>
      </c>
      <c r="N60" s="5" t="str">
        <f>IFERROR(__xludf.DUMMYFUNCTION("""COMPUTED_VALUE"""),"Western Europe and Others")</f>
        <v>Western Europe and Others</v>
      </c>
      <c r="O60" s="5" t="str">
        <f>IFERROR(__xludf.DUMMYFUNCTION("""COMPUTED_VALUE"""),"developed")</f>
        <v>developed</v>
      </c>
      <c r="P60" s="5"/>
      <c r="Q60" s="5" t="str">
        <f>IFERROR(__xludf.DUMMYFUNCTION("""COMPUTED_VALUE"""),"Stranded")</f>
        <v>Stranded</v>
      </c>
    </row>
    <row r="61">
      <c r="A61" s="5" t="str">
        <f>IFERROR(__xludf.DUMMYFUNCTION("""COMPUTED_VALUE"""),"Outbound")</f>
        <v>Outbound</v>
      </c>
      <c r="B61" s="5">
        <f>IFERROR(__xludf.DUMMYFUNCTION("""COMPUTED_VALUE"""),952.0)</f>
        <v>952</v>
      </c>
      <c r="C61" s="5" t="str">
        <f>IFERROR(__xludf.DUMMYFUNCTION("""COMPUTED_VALUE"""),"DSM CAPELLA")</f>
        <v>DSM CAPELLA</v>
      </c>
      <c r="D61" s="5">
        <f>IFERROR(__xludf.DUMMYFUNCTION("""COMPUTED_VALUE"""),9271511.0)</f>
        <v>9271511</v>
      </c>
      <c r="E61" s="5" t="str">
        <f>IFERROR(__xludf.DUMMYFUNCTION("""COMPUTED_VALUE"""),"Chornomorsk")</f>
        <v>Chornomorsk</v>
      </c>
      <c r="F61" s="5" t="str">
        <f>IFERROR(__xludf.DUMMYFUNCTION("""COMPUTED_VALUE"""),"Türkiye")</f>
        <v>Türkiye</v>
      </c>
      <c r="G61" s="5" t="str">
        <f>IFERROR(__xludf.DUMMYFUNCTION("""COMPUTED_VALUE"""),"Corn")</f>
        <v>Corn</v>
      </c>
      <c r="H61" s="6">
        <f>IFERROR(__xludf.DUMMYFUNCTION("""COMPUTED_VALUE"""),30000.0)</f>
        <v>30000</v>
      </c>
      <c r="I61" s="7">
        <f>IFERROR(__xludf.DUMMYFUNCTION("""COMPUTED_VALUE"""),45063.0)</f>
        <v>45063</v>
      </c>
      <c r="J61" s="7">
        <f>IFERROR(__xludf.DUMMYFUNCTION("""COMPUTED_VALUE"""),45067.0)</f>
        <v>45067</v>
      </c>
      <c r="K61" s="5" t="str">
        <f>IFERROR(__xludf.DUMMYFUNCTION("""COMPUTED_VALUE"""),"upper-middle-income")</f>
        <v>upper-middle-income</v>
      </c>
      <c r="L61" s="5" t="str">
        <f>IFERROR(__xludf.DUMMYFUNCTION("""COMPUTED_VALUE"""),"Barbados")</f>
        <v>Barbados</v>
      </c>
      <c r="M61" s="5" t="str">
        <f>IFERROR(__xludf.DUMMYFUNCTION("""COMPUTED_VALUE"""),"Europe &amp; Central Asia")</f>
        <v>Europe &amp; Central Asia</v>
      </c>
      <c r="N61" s="5" t="str">
        <f>IFERROR(__xludf.DUMMYFUNCTION("""COMPUTED_VALUE"""),"Asia-Pacific")</f>
        <v>Asia-Pacific</v>
      </c>
      <c r="O61" s="5" t="str">
        <f>IFERROR(__xludf.DUMMYFUNCTION("""COMPUTED_VALUE"""),"developing")</f>
        <v>developing</v>
      </c>
      <c r="P61" s="5"/>
      <c r="Q61" s="5"/>
    </row>
    <row r="62">
      <c r="A62" s="5" t="str">
        <f>IFERROR(__xludf.DUMMYFUNCTION("""COMPUTED_VALUE"""),"Outbound")</f>
        <v>Outbound</v>
      </c>
      <c r="B62" s="5">
        <f>IFERROR(__xludf.DUMMYFUNCTION("""COMPUTED_VALUE"""),951.0)</f>
        <v>951</v>
      </c>
      <c r="C62" s="5" t="str">
        <f>IFERROR(__xludf.DUMMYFUNCTION("""COMPUTED_VALUE"""),"SEAEAGLE")</f>
        <v>SEAEAGLE</v>
      </c>
      <c r="D62" s="5">
        <f>IFERROR(__xludf.DUMMYFUNCTION("""COMPUTED_VALUE"""),9153056.0)</f>
        <v>9153056</v>
      </c>
      <c r="E62" s="5" t="str">
        <f>IFERROR(__xludf.DUMMYFUNCTION("""COMPUTED_VALUE"""),"Odesa")</f>
        <v>Odesa</v>
      </c>
      <c r="F62" s="5" t="str">
        <f>IFERROR(__xludf.DUMMYFUNCTION("""COMPUTED_VALUE"""),"Saudi Arabia")</f>
        <v>Saudi Arabia</v>
      </c>
      <c r="G62" s="5" t="str">
        <f>IFERROR(__xludf.DUMMYFUNCTION("""COMPUTED_VALUE"""),"Corn")</f>
        <v>Corn</v>
      </c>
      <c r="H62" s="6">
        <f>IFERROR(__xludf.DUMMYFUNCTION("""COMPUTED_VALUE"""),61734.0)</f>
        <v>61734</v>
      </c>
      <c r="I62" s="7">
        <f>IFERROR(__xludf.DUMMYFUNCTION("""COMPUTED_VALUE"""),45062.0)</f>
        <v>45062</v>
      </c>
      <c r="J62" s="7">
        <f>IFERROR(__xludf.DUMMYFUNCTION("""COMPUTED_VALUE"""),45064.0)</f>
        <v>45064</v>
      </c>
      <c r="K62" s="5" t="str">
        <f>IFERROR(__xludf.DUMMYFUNCTION("""COMPUTED_VALUE"""),"high-income")</f>
        <v>high-income</v>
      </c>
      <c r="L62" s="5" t="str">
        <f>IFERROR(__xludf.DUMMYFUNCTION("""COMPUTED_VALUE"""),"Malta")</f>
        <v>Malta</v>
      </c>
      <c r="M62" s="5" t="str">
        <f>IFERROR(__xludf.DUMMYFUNCTION("""COMPUTED_VALUE"""),"Middle East &amp; North Africa")</f>
        <v>Middle East &amp; North Africa</v>
      </c>
      <c r="N62" s="5" t="str">
        <f>IFERROR(__xludf.DUMMYFUNCTION("""COMPUTED_VALUE"""),"Asia-Pacific")</f>
        <v>Asia-Pacific</v>
      </c>
      <c r="O62" s="5" t="str">
        <f>IFERROR(__xludf.DUMMYFUNCTION("""COMPUTED_VALUE"""),"developing")</f>
        <v>developing</v>
      </c>
      <c r="P62" s="5"/>
      <c r="Q62" s="5"/>
    </row>
    <row r="63">
      <c r="A63" s="5" t="str">
        <f>IFERROR(__xludf.DUMMYFUNCTION("""COMPUTED_VALUE"""),"Outbound")</f>
        <v>Outbound</v>
      </c>
      <c r="B63" s="5">
        <f>IFERROR(__xludf.DUMMYFUNCTION("""COMPUTED_VALUE"""),950.0)</f>
        <v>950</v>
      </c>
      <c r="C63" s="5" t="str">
        <f>IFERROR(__xludf.DUMMYFUNCTION("""COMPUTED_VALUE"""),"K SUKRET")</f>
        <v>K SUKRET</v>
      </c>
      <c r="D63" s="5">
        <f>IFERROR(__xludf.DUMMYFUNCTION("""COMPUTED_VALUE"""),9571442.0)</f>
        <v>9571442</v>
      </c>
      <c r="E63" s="5" t="str">
        <f>IFERROR(__xludf.DUMMYFUNCTION("""COMPUTED_VALUE"""),"Odesa")</f>
        <v>Odesa</v>
      </c>
      <c r="F63" s="5" t="str">
        <f>IFERROR(__xludf.DUMMYFUNCTION("""COMPUTED_VALUE"""),"Morocco")</f>
        <v>Morocco</v>
      </c>
      <c r="G63" s="5" t="str">
        <f>IFERROR(__xludf.DUMMYFUNCTION("""COMPUTED_VALUE"""),"Sunflower meal")</f>
        <v>Sunflower meal</v>
      </c>
      <c r="H63" s="6">
        <f>IFERROR(__xludf.DUMMYFUNCTION("""COMPUTED_VALUE"""),19800.0)</f>
        <v>19800</v>
      </c>
      <c r="I63" s="7">
        <f>IFERROR(__xludf.DUMMYFUNCTION("""COMPUTED_VALUE"""),45061.0)</f>
        <v>45061</v>
      </c>
      <c r="J63" s="7">
        <f>IFERROR(__xludf.DUMMYFUNCTION("""COMPUTED_VALUE"""),45063.0)</f>
        <v>45063</v>
      </c>
      <c r="K63" s="5" t="str">
        <f>IFERROR(__xludf.DUMMYFUNCTION("""COMPUTED_VALUE"""),"lower-middle income")</f>
        <v>lower-middle income</v>
      </c>
      <c r="L63" s="5" t="str">
        <f>IFERROR(__xludf.DUMMYFUNCTION("""COMPUTED_VALUE"""),"Liberia")</f>
        <v>Liberia</v>
      </c>
      <c r="M63" s="5" t="str">
        <f>IFERROR(__xludf.DUMMYFUNCTION("""COMPUTED_VALUE"""),"Middle East &amp; North Africa")</f>
        <v>Middle East &amp; North Africa</v>
      </c>
      <c r="N63" s="5" t="str">
        <f>IFERROR(__xludf.DUMMYFUNCTION("""COMPUTED_VALUE"""),"Africa")</f>
        <v>Africa</v>
      </c>
      <c r="O63" s="5" t="str">
        <f>IFERROR(__xludf.DUMMYFUNCTION("""COMPUTED_VALUE"""),"developing")</f>
        <v>developing</v>
      </c>
      <c r="P63" s="5"/>
      <c r="Q63" s="5"/>
    </row>
    <row r="64">
      <c r="A64" s="5" t="str">
        <f>IFERROR(__xludf.DUMMYFUNCTION("""COMPUTED_VALUE"""),"Outbound")</f>
        <v>Outbound</v>
      </c>
      <c r="B64" s="5">
        <f>IFERROR(__xludf.DUMMYFUNCTION("""COMPUTED_VALUE"""),949.0)</f>
        <v>949</v>
      </c>
      <c r="C64" s="5" t="str">
        <f>IFERROR(__xludf.DUMMYFUNCTION("""COMPUTED_VALUE"""),"MASTRO MITROS")</f>
        <v>MASTRO MITROS</v>
      </c>
      <c r="D64" s="5">
        <f>IFERROR(__xludf.DUMMYFUNCTION("""COMPUTED_VALUE"""),9228071.0)</f>
        <v>9228071</v>
      </c>
      <c r="E64" s="5" t="str">
        <f>IFERROR(__xludf.DUMMYFUNCTION("""COMPUTED_VALUE"""),"Odesa")</f>
        <v>Odesa</v>
      </c>
      <c r="F64" s="5" t="str">
        <f>IFERROR(__xludf.DUMMYFUNCTION("""COMPUTED_VALUE"""),"Egypt")</f>
        <v>Egypt</v>
      </c>
      <c r="G64" s="5" t="str">
        <f>IFERROR(__xludf.DUMMYFUNCTION("""COMPUTED_VALUE"""),"Corn")</f>
        <v>Corn</v>
      </c>
      <c r="H64" s="6">
        <f>IFERROR(__xludf.DUMMYFUNCTION("""COMPUTED_VALUE"""),32611.0)</f>
        <v>32611</v>
      </c>
      <c r="I64" s="7">
        <f>IFERROR(__xludf.DUMMYFUNCTION("""COMPUTED_VALUE"""),45060.0)</f>
        <v>45060</v>
      </c>
      <c r="J64" s="7">
        <f>IFERROR(__xludf.DUMMYFUNCTION("""COMPUTED_VALUE"""),45068.0)</f>
        <v>45068</v>
      </c>
      <c r="K64" s="5" t="str">
        <f>IFERROR(__xludf.DUMMYFUNCTION("""COMPUTED_VALUE"""),"lower-middle income")</f>
        <v>lower-middle income</v>
      </c>
      <c r="L64" s="5" t="str">
        <f>IFERROR(__xludf.DUMMYFUNCTION("""COMPUTED_VALUE"""),"Liberia")</f>
        <v>Liberia</v>
      </c>
      <c r="M64" s="5" t="str">
        <f>IFERROR(__xludf.DUMMYFUNCTION("""COMPUTED_VALUE"""),"Middle East &amp; North Africa")</f>
        <v>Middle East &amp; North Africa</v>
      </c>
      <c r="N64" s="5" t="str">
        <f>IFERROR(__xludf.DUMMYFUNCTION("""COMPUTED_VALUE"""),"Africa")</f>
        <v>Africa</v>
      </c>
      <c r="O64" s="5" t="str">
        <f>IFERROR(__xludf.DUMMYFUNCTION("""COMPUTED_VALUE"""),"developing")</f>
        <v>developing</v>
      </c>
      <c r="P64" s="5"/>
      <c r="Q64" s="5"/>
    </row>
    <row r="65">
      <c r="A65" s="5" t="str">
        <f>IFERROR(__xludf.DUMMYFUNCTION("""COMPUTED_VALUE"""),"Outbound +")</f>
        <v>Outbound +</v>
      </c>
      <c r="B65" s="5">
        <f>IFERROR(__xludf.DUMMYFUNCTION("""COMPUTED_VALUE"""),949.0)</f>
        <v>949</v>
      </c>
      <c r="C65" s="5" t="str">
        <f>IFERROR(__xludf.DUMMYFUNCTION("""COMPUTED_VALUE"""),"MASTRO MITROS")</f>
        <v>MASTRO MITROS</v>
      </c>
      <c r="D65" s="5">
        <f>IFERROR(__xludf.DUMMYFUNCTION("""COMPUTED_VALUE"""),9228071.0)</f>
        <v>9228071</v>
      </c>
      <c r="E65" s="5" t="str">
        <f>IFERROR(__xludf.DUMMYFUNCTION("""COMPUTED_VALUE"""),"Odesa")</f>
        <v>Odesa</v>
      </c>
      <c r="F65" s="5" t="str">
        <f>IFERROR(__xludf.DUMMYFUNCTION("""COMPUTED_VALUE"""),"Egypt")</f>
        <v>Egypt</v>
      </c>
      <c r="G65" s="5" t="str">
        <f>IFERROR(__xludf.DUMMYFUNCTION("""COMPUTED_VALUE"""),"Soya beans")</f>
        <v>Soya beans</v>
      </c>
      <c r="H65" s="6">
        <f>IFERROR(__xludf.DUMMYFUNCTION("""COMPUTED_VALUE"""),8704.0)</f>
        <v>8704</v>
      </c>
      <c r="I65" s="7">
        <f>IFERROR(__xludf.DUMMYFUNCTION("""COMPUTED_VALUE"""),45060.0)</f>
        <v>45060</v>
      </c>
      <c r="J65" s="7">
        <f>IFERROR(__xludf.DUMMYFUNCTION("""COMPUTED_VALUE"""),45068.0)</f>
        <v>45068</v>
      </c>
      <c r="K65" s="5" t="str">
        <f>IFERROR(__xludf.DUMMYFUNCTION("""COMPUTED_VALUE"""),"lower-middle income")</f>
        <v>lower-middle income</v>
      </c>
      <c r="L65" s="5" t="str">
        <f>IFERROR(__xludf.DUMMYFUNCTION("""COMPUTED_VALUE"""),"Liberia")</f>
        <v>Liberia</v>
      </c>
      <c r="M65" s="5" t="str">
        <f>IFERROR(__xludf.DUMMYFUNCTION("""COMPUTED_VALUE"""),"Middle East &amp; North Africa")</f>
        <v>Middle East &amp; North Africa</v>
      </c>
      <c r="N65" s="5" t="str">
        <f>IFERROR(__xludf.DUMMYFUNCTION("""COMPUTED_VALUE"""),"Africa")</f>
        <v>Africa</v>
      </c>
      <c r="O65" s="5" t="str">
        <f>IFERROR(__xludf.DUMMYFUNCTION("""COMPUTED_VALUE"""),"developing")</f>
        <v>developing</v>
      </c>
      <c r="P65" s="5"/>
      <c r="Q65" s="5"/>
    </row>
    <row r="66">
      <c r="A66" s="5" t="str">
        <f>IFERROR(__xludf.DUMMYFUNCTION("""COMPUTED_VALUE"""),"Outbound")</f>
        <v>Outbound</v>
      </c>
      <c r="B66" s="5">
        <f>IFERROR(__xludf.DUMMYFUNCTION("""COMPUTED_VALUE"""),948.0)</f>
        <v>948</v>
      </c>
      <c r="C66" s="5" t="str">
        <f>IFERROR(__xludf.DUMMYFUNCTION("""COMPUTED_VALUE"""),"DENIZ M (WFP)")</f>
        <v>DENIZ M (WFP)</v>
      </c>
      <c r="D66" s="5">
        <f>IFERROR(__xludf.DUMMYFUNCTION("""COMPUTED_VALUE"""),9450703.0)</f>
        <v>9450703</v>
      </c>
      <c r="E66" s="5" t="str">
        <f>IFERROR(__xludf.DUMMYFUNCTION("""COMPUTED_VALUE"""),"Odesa")</f>
        <v>Odesa</v>
      </c>
      <c r="F66" s="5" t="str">
        <f>IFERROR(__xludf.DUMMYFUNCTION("""COMPUTED_VALUE"""),"Sudan")</f>
        <v>Sudan</v>
      </c>
      <c r="G66" s="5" t="str">
        <f>IFERROR(__xludf.DUMMYFUNCTION("""COMPUTED_VALUE"""),"Wheat")</f>
        <v>Wheat</v>
      </c>
      <c r="H66" s="6">
        <f>IFERROR(__xludf.DUMMYFUNCTION("""COMPUTED_VALUE"""),30000.0)</f>
        <v>30000</v>
      </c>
      <c r="I66" s="7">
        <f>IFERROR(__xludf.DUMMYFUNCTION("""COMPUTED_VALUE"""),45060.0)</f>
        <v>45060</v>
      </c>
      <c r="J66" s="7">
        <f>IFERROR(__xludf.DUMMYFUNCTION("""COMPUTED_VALUE"""),45064.0)</f>
        <v>45064</v>
      </c>
      <c r="K66" s="5" t="str">
        <f>IFERROR(__xludf.DUMMYFUNCTION("""COMPUTED_VALUE"""),"low-income")</f>
        <v>low-income</v>
      </c>
      <c r="L66" s="5" t="str">
        <f>IFERROR(__xludf.DUMMYFUNCTION("""COMPUTED_VALUE"""),"Panama")</f>
        <v>Panama</v>
      </c>
      <c r="M66" s="5" t="str">
        <f>IFERROR(__xludf.DUMMYFUNCTION("""COMPUTED_VALUE"""),"Sub-Saharan Africa")</f>
        <v>Sub-Saharan Africa</v>
      </c>
      <c r="N66" s="5" t="str">
        <f>IFERROR(__xludf.DUMMYFUNCTION("""COMPUTED_VALUE"""),"Africa")</f>
        <v>Africa</v>
      </c>
      <c r="O66" s="5" t="str">
        <f>IFERROR(__xludf.DUMMYFUNCTION("""COMPUTED_VALUE"""),"developing")</f>
        <v>developing</v>
      </c>
      <c r="P66" s="5" t="str">
        <f>IFERROR(__xludf.DUMMYFUNCTION("""COMPUTED_VALUE"""),"WFP")</f>
        <v>WFP</v>
      </c>
      <c r="Q66" s="5"/>
    </row>
    <row r="67">
      <c r="A67" s="5" t="str">
        <f>IFERROR(__xludf.DUMMYFUNCTION("""COMPUTED_VALUE"""),"Outbound")</f>
        <v>Outbound</v>
      </c>
      <c r="B67" s="5">
        <f>IFERROR(__xludf.DUMMYFUNCTION("""COMPUTED_VALUE"""),947.0)</f>
        <v>947</v>
      </c>
      <c r="C67" s="5" t="str">
        <f>IFERROR(__xludf.DUMMYFUNCTION("""COMPUTED_VALUE"""),"PACIFIC ROSE")</f>
        <v>PACIFIC ROSE</v>
      </c>
      <c r="D67" s="5">
        <f>IFERROR(__xludf.DUMMYFUNCTION("""COMPUTED_VALUE"""),9299460.0)</f>
        <v>9299460</v>
      </c>
      <c r="E67" s="5" t="str">
        <f>IFERROR(__xludf.DUMMYFUNCTION("""COMPUTED_VALUE"""),"Chornomorsk")</f>
        <v>Chornomorsk</v>
      </c>
      <c r="F67" s="5" t="str">
        <f>IFERROR(__xludf.DUMMYFUNCTION("""COMPUTED_VALUE"""),"Türkiye")</f>
        <v>Türkiye</v>
      </c>
      <c r="G67" s="5" t="str">
        <f>IFERROR(__xludf.DUMMYFUNCTION("""COMPUTED_VALUE"""),"Wheat")</f>
        <v>Wheat</v>
      </c>
      <c r="H67" s="6">
        <f>IFERROR(__xludf.DUMMYFUNCTION("""COMPUTED_VALUE"""),26250.0)</f>
        <v>26250</v>
      </c>
      <c r="I67" s="7">
        <f>IFERROR(__xludf.DUMMYFUNCTION("""COMPUTED_VALUE"""),45058.0)</f>
        <v>45058</v>
      </c>
      <c r="J67" s="7">
        <f>IFERROR(__xludf.DUMMYFUNCTION("""COMPUTED_VALUE"""),45063.0)</f>
        <v>45063</v>
      </c>
      <c r="K67" s="5" t="str">
        <f>IFERROR(__xludf.DUMMYFUNCTION("""COMPUTED_VALUE"""),"upper-middle-income")</f>
        <v>upper-middle-income</v>
      </c>
      <c r="L67" s="5" t="str">
        <f>IFERROR(__xludf.DUMMYFUNCTION("""COMPUTED_VALUE"""),"Barbados")</f>
        <v>Barbados</v>
      </c>
      <c r="M67" s="5" t="str">
        <f>IFERROR(__xludf.DUMMYFUNCTION("""COMPUTED_VALUE"""),"Europe &amp; Central Asia")</f>
        <v>Europe &amp; Central Asia</v>
      </c>
      <c r="N67" s="5" t="str">
        <f>IFERROR(__xludf.DUMMYFUNCTION("""COMPUTED_VALUE"""),"Asia-Pacific")</f>
        <v>Asia-Pacific</v>
      </c>
      <c r="O67" s="5" t="str">
        <f>IFERROR(__xludf.DUMMYFUNCTION("""COMPUTED_VALUE"""),"developing")</f>
        <v>developing</v>
      </c>
      <c r="P67" s="5"/>
      <c r="Q67" s="5"/>
    </row>
    <row r="68">
      <c r="A68" s="5" t="str">
        <f>IFERROR(__xludf.DUMMYFUNCTION("""COMPUTED_VALUE"""),"Outbound")</f>
        <v>Outbound</v>
      </c>
      <c r="B68" s="5">
        <f>IFERROR(__xludf.DUMMYFUNCTION("""COMPUTED_VALUE"""),946.0)</f>
        <v>946</v>
      </c>
      <c r="C68" s="5" t="str">
        <f>IFERROR(__xludf.DUMMYFUNCTION("""COMPUTED_VALUE"""),"NAVIOS HOPE")</f>
        <v>NAVIOS HOPE</v>
      </c>
      <c r="D68" s="5">
        <f>IFERROR(__xludf.DUMMYFUNCTION("""COMPUTED_VALUE"""),9328558.0)</f>
        <v>9328558</v>
      </c>
      <c r="E68" s="5" t="str">
        <f>IFERROR(__xludf.DUMMYFUNCTION("""COMPUTED_VALUE"""),"Odesa")</f>
        <v>Odesa</v>
      </c>
      <c r="F68" s="5" t="str">
        <f>IFERROR(__xludf.DUMMYFUNCTION("""COMPUTED_VALUE"""),"China")</f>
        <v>China</v>
      </c>
      <c r="G68" s="5" t="str">
        <f>IFERROR(__xludf.DUMMYFUNCTION("""COMPUTED_VALUE"""),"Barley")</f>
        <v>Barley</v>
      </c>
      <c r="H68" s="6">
        <f>IFERROR(__xludf.DUMMYFUNCTION("""COMPUTED_VALUE"""),62000.0)</f>
        <v>62000</v>
      </c>
      <c r="I68" s="7">
        <f>IFERROR(__xludf.DUMMYFUNCTION("""COMPUTED_VALUE"""),45058.0)</f>
        <v>45058</v>
      </c>
      <c r="J68" s="7">
        <f>IFERROR(__xludf.DUMMYFUNCTION("""COMPUTED_VALUE"""),45062.0)</f>
        <v>45062</v>
      </c>
      <c r="K68" s="5" t="str">
        <f>IFERROR(__xludf.DUMMYFUNCTION("""COMPUTED_VALUE"""),"upper-middle-income")</f>
        <v>upper-middle-income</v>
      </c>
      <c r="L68" s="5" t="str">
        <f>IFERROR(__xludf.DUMMYFUNCTION("""COMPUTED_VALUE"""),"Panama")</f>
        <v>Panama</v>
      </c>
      <c r="M68" s="5" t="str">
        <f>IFERROR(__xludf.DUMMYFUNCTION("""COMPUTED_VALUE"""),"East Asia &amp; Pacific")</f>
        <v>East Asia &amp; Pacific</v>
      </c>
      <c r="N68" s="5" t="str">
        <f>IFERROR(__xludf.DUMMYFUNCTION("""COMPUTED_VALUE"""),"Asia-Pacific")</f>
        <v>Asia-Pacific</v>
      </c>
      <c r="O68" s="5" t="str">
        <f>IFERROR(__xludf.DUMMYFUNCTION("""COMPUTED_VALUE"""),"developing")</f>
        <v>developing</v>
      </c>
      <c r="P68" s="5"/>
      <c r="Q68" s="5"/>
    </row>
    <row r="69">
      <c r="A69" s="5" t="str">
        <f>IFERROR(__xludf.DUMMYFUNCTION("""COMPUTED_VALUE"""),"Outbound")</f>
        <v>Outbound</v>
      </c>
      <c r="B69" s="5">
        <f>IFERROR(__xludf.DUMMYFUNCTION("""COMPUTED_VALUE"""),945.0)</f>
        <v>945</v>
      </c>
      <c r="C69" s="5" t="str">
        <f>IFERROR(__xludf.DUMMYFUNCTION("""COMPUTED_VALUE"""),"QUEEN LILA")</f>
        <v>QUEEN LILA</v>
      </c>
      <c r="D69" s="5">
        <f>IFERROR(__xludf.DUMMYFUNCTION("""COMPUTED_VALUE"""),9303376.0)</f>
        <v>9303376</v>
      </c>
      <c r="E69" s="5" t="str">
        <f>IFERROR(__xludf.DUMMYFUNCTION("""COMPUTED_VALUE"""),"Yuzhny/Pivdennyi")</f>
        <v>Yuzhny/Pivdennyi</v>
      </c>
      <c r="F69" s="5" t="str">
        <f>IFERROR(__xludf.DUMMYFUNCTION("""COMPUTED_VALUE"""),"Egypt")</f>
        <v>Egypt</v>
      </c>
      <c r="G69" s="5" t="str">
        <f>IFERROR(__xludf.DUMMYFUNCTION("""COMPUTED_VALUE"""),"Corn")</f>
        <v>Corn</v>
      </c>
      <c r="H69" s="6">
        <f>IFERROR(__xludf.DUMMYFUNCTION("""COMPUTED_VALUE"""),30450.0)</f>
        <v>30450</v>
      </c>
      <c r="I69" s="7">
        <f>IFERROR(__xludf.DUMMYFUNCTION("""COMPUTED_VALUE"""),45057.0)</f>
        <v>45057</v>
      </c>
      <c r="J69" s="7">
        <f>IFERROR(__xludf.DUMMYFUNCTION("""COMPUTED_VALUE"""),45062.0)</f>
        <v>45062</v>
      </c>
      <c r="K69" s="5" t="str">
        <f>IFERROR(__xludf.DUMMYFUNCTION("""COMPUTED_VALUE"""),"lower-middle income")</f>
        <v>lower-middle income</v>
      </c>
      <c r="L69" s="5" t="str">
        <f>IFERROR(__xludf.DUMMYFUNCTION("""COMPUTED_VALUE"""),"Belize")</f>
        <v>Belize</v>
      </c>
      <c r="M69" s="5" t="str">
        <f>IFERROR(__xludf.DUMMYFUNCTION("""COMPUTED_VALUE"""),"Middle East &amp; North Africa")</f>
        <v>Middle East &amp; North Africa</v>
      </c>
      <c r="N69" s="5" t="str">
        <f>IFERROR(__xludf.DUMMYFUNCTION("""COMPUTED_VALUE"""),"Africa")</f>
        <v>Africa</v>
      </c>
      <c r="O69" s="5" t="str">
        <f>IFERROR(__xludf.DUMMYFUNCTION("""COMPUTED_VALUE"""),"developing")</f>
        <v>developing</v>
      </c>
      <c r="P69" s="5"/>
      <c r="Q69" s="5"/>
    </row>
    <row r="70">
      <c r="A70" s="5" t="str">
        <f>IFERROR(__xludf.DUMMYFUNCTION("""COMPUTED_VALUE"""),"Outbound")</f>
        <v>Outbound</v>
      </c>
      <c r="B70" s="5">
        <f>IFERROR(__xludf.DUMMYFUNCTION("""COMPUTED_VALUE"""),944.0)</f>
        <v>944</v>
      </c>
      <c r="C70" s="5" t="str">
        <f>IFERROR(__xludf.DUMMYFUNCTION("""COMPUTED_VALUE"""),"MARIA")</f>
        <v>MARIA</v>
      </c>
      <c r="D70" s="5">
        <f>IFERROR(__xludf.DUMMYFUNCTION("""COMPUTED_VALUE"""),9041772.0)</f>
        <v>9041772</v>
      </c>
      <c r="E70" s="5" t="str">
        <f>IFERROR(__xludf.DUMMYFUNCTION("""COMPUTED_VALUE"""),"Odesa")</f>
        <v>Odesa</v>
      </c>
      <c r="F70" s="5" t="str">
        <f>IFERROR(__xludf.DUMMYFUNCTION("""COMPUTED_VALUE"""),"Spain")</f>
        <v>Spain</v>
      </c>
      <c r="G70" s="5" t="str">
        <f>IFERROR(__xludf.DUMMYFUNCTION("""COMPUTED_VALUE"""),"Wheat")</f>
        <v>Wheat</v>
      </c>
      <c r="H70" s="6">
        <f>IFERROR(__xludf.DUMMYFUNCTION("""COMPUTED_VALUE"""),20721.0)</f>
        <v>20721</v>
      </c>
      <c r="I70" s="7">
        <f>IFERROR(__xludf.DUMMYFUNCTION("""COMPUTED_VALUE"""),45057.0)</f>
        <v>45057</v>
      </c>
      <c r="J70" s="7">
        <f>IFERROR(__xludf.DUMMYFUNCTION("""COMPUTED_VALUE"""),45062.0)</f>
        <v>45062</v>
      </c>
      <c r="K70" s="5" t="str">
        <f>IFERROR(__xludf.DUMMYFUNCTION("""COMPUTED_VALUE"""),"high-income")</f>
        <v>high-income</v>
      </c>
      <c r="L70" s="5" t="str">
        <f>IFERROR(__xludf.DUMMYFUNCTION("""COMPUTED_VALUE"""),"Palau")</f>
        <v>Palau</v>
      </c>
      <c r="M70" s="5" t="str">
        <f>IFERROR(__xludf.DUMMYFUNCTION("""COMPUTED_VALUE"""),"Europe &amp; Central Asia")</f>
        <v>Europe &amp; Central Asia</v>
      </c>
      <c r="N70" s="5" t="str">
        <f>IFERROR(__xludf.DUMMYFUNCTION("""COMPUTED_VALUE"""),"Western Europe and Others")</f>
        <v>Western Europe and Others</v>
      </c>
      <c r="O70" s="5" t="str">
        <f>IFERROR(__xludf.DUMMYFUNCTION("""COMPUTED_VALUE"""),"developed")</f>
        <v>developed</v>
      </c>
      <c r="P70" s="5"/>
      <c r="Q70" s="5"/>
    </row>
    <row r="71">
      <c r="A71" s="5" t="str">
        <f>IFERROR(__xludf.DUMMYFUNCTION("""COMPUTED_VALUE"""),"Outbound")</f>
        <v>Outbound</v>
      </c>
      <c r="B71" s="5">
        <f>IFERROR(__xludf.DUMMYFUNCTION("""COMPUTED_VALUE"""),943.0)</f>
        <v>943</v>
      </c>
      <c r="C71" s="5" t="str">
        <f>IFERROR(__xludf.DUMMYFUNCTION("""COMPUTED_VALUE"""),"AG VALOR")</f>
        <v>AG VALOR</v>
      </c>
      <c r="D71" s="5">
        <f>IFERROR(__xludf.DUMMYFUNCTION("""COMPUTED_VALUE"""),9312327.0)</f>
        <v>9312327</v>
      </c>
      <c r="E71" s="5" t="str">
        <f>IFERROR(__xludf.DUMMYFUNCTION("""COMPUTED_VALUE"""),"Odesa")</f>
        <v>Odesa</v>
      </c>
      <c r="F71" s="5" t="str">
        <f>IFERROR(__xludf.DUMMYFUNCTION("""COMPUTED_VALUE"""),"Egypt")</f>
        <v>Egypt</v>
      </c>
      <c r="G71" s="5" t="str">
        <f>IFERROR(__xludf.DUMMYFUNCTION("""COMPUTED_VALUE"""),"Corn")</f>
        <v>Corn</v>
      </c>
      <c r="H71" s="6">
        <f>IFERROR(__xludf.DUMMYFUNCTION("""COMPUTED_VALUE"""),10351.0)</f>
        <v>10351</v>
      </c>
      <c r="I71" s="7">
        <f>IFERROR(__xludf.DUMMYFUNCTION("""COMPUTED_VALUE"""),45057.0)</f>
        <v>45057</v>
      </c>
      <c r="J71" s="7">
        <f>IFERROR(__xludf.DUMMYFUNCTION("""COMPUTED_VALUE"""),45062.0)</f>
        <v>45062</v>
      </c>
      <c r="K71" s="5" t="str">
        <f>IFERROR(__xludf.DUMMYFUNCTION("""COMPUTED_VALUE"""),"lower-middle income")</f>
        <v>lower-middle income</v>
      </c>
      <c r="L71" s="5" t="str">
        <f>IFERROR(__xludf.DUMMYFUNCTION("""COMPUTED_VALUE"""),"Panama")</f>
        <v>Panama</v>
      </c>
      <c r="M71" s="5" t="str">
        <f>IFERROR(__xludf.DUMMYFUNCTION("""COMPUTED_VALUE"""),"Middle East &amp; North Africa")</f>
        <v>Middle East &amp; North Africa</v>
      </c>
      <c r="N71" s="5" t="str">
        <f>IFERROR(__xludf.DUMMYFUNCTION("""COMPUTED_VALUE"""),"Africa")</f>
        <v>Africa</v>
      </c>
      <c r="O71" s="5" t="str">
        <f>IFERROR(__xludf.DUMMYFUNCTION("""COMPUTED_VALUE"""),"developing")</f>
        <v>developing</v>
      </c>
      <c r="P71" s="5"/>
      <c r="Q71" s="5"/>
    </row>
    <row r="72">
      <c r="A72" s="5" t="str">
        <f>IFERROR(__xludf.DUMMYFUNCTION("""COMPUTED_VALUE"""),"Outbound +")</f>
        <v>Outbound +</v>
      </c>
      <c r="B72" s="5">
        <f>IFERROR(__xludf.DUMMYFUNCTION("""COMPUTED_VALUE"""),943.0)</f>
        <v>943</v>
      </c>
      <c r="C72" s="5" t="str">
        <f>IFERROR(__xludf.DUMMYFUNCTION("""COMPUTED_VALUE"""),"AG VALOR")</f>
        <v>AG VALOR</v>
      </c>
      <c r="D72" s="5">
        <f>IFERROR(__xludf.DUMMYFUNCTION("""COMPUTED_VALUE"""),9312327.0)</f>
        <v>9312327</v>
      </c>
      <c r="E72" s="5" t="str">
        <f>IFERROR(__xludf.DUMMYFUNCTION("""COMPUTED_VALUE"""),"Odesa")</f>
        <v>Odesa</v>
      </c>
      <c r="F72" s="5" t="str">
        <f>IFERROR(__xludf.DUMMYFUNCTION("""COMPUTED_VALUE"""),"Egypt")</f>
        <v>Egypt</v>
      </c>
      <c r="G72" s="5" t="str">
        <f>IFERROR(__xludf.DUMMYFUNCTION("""COMPUTED_VALUE"""),"Wheat")</f>
        <v>Wheat</v>
      </c>
      <c r="H72" s="6">
        <f>IFERROR(__xludf.DUMMYFUNCTION("""COMPUTED_VALUE"""),15999.0)</f>
        <v>15999</v>
      </c>
      <c r="I72" s="7">
        <f>IFERROR(__xludf.DUMMYFUNCTION("""COMPUTED_VALUE"""),45057.0)</f>
        <v>45057</v>
      </c>
      <c r="J72" s="7">
        <f>IFERROR(__xludf.DUMMYFUNCTION("""COMPUTED_VALUE"""),45062.0)</f>
        <v>45062</v>
      </c>
      <c r="K72" s="5" t="str">
        <f>IFERROR(__xludf.DUMMYFUNCTION("""COMPUTED_VALUE"""),"lower-middle income")</f>
        <v>lower-middle income</v>
      </c>
      <c r="L72" s="5" t="str">
        <f>IFERROR(__xludf.DUMMYFUNCTION("""COMPUTED_VALUE"""),"Panama")</f>
        <v>Panama</v>
      </c>
      <c r="M72" s="5" t="str">
        <f>IFERROR(__xludf.DUMMYFUNCTION("""COMPUTED_VALUE"""),"Middle East &amp; North Africa")</f>
        <v>Middle East &amp; North Africa</v>
      </c>
      <c r="N72" s="5" t="str">
        <f>IFERROR(__xludf.DUMMYFUNCTION("""COMPUTED_VALUE"""),"Africa")</f>
        <v>Africa</v>
      </c>
      <c r="O72" s="5" t="str">
        <f>IFERROR(__xludf.DUMMYFUNCTION("""COMPUTED_VALUE"""),"developing")</f>
        <v>developing</v>
      </c>
      <c r="P72" s="5"/>
      <c r="Q72" s="5"/>
    </row>
    <row r="73">
      <c r="A73" s="5" t="str">
        <f>IFERROR(__xludf.DUMMYFUNCTION("""COMPUTED_VALUE"""),"Outbound")</f>
        <v>Outbound</v>
      </c>
      <c r="B73" s="5">
        <f>IFERROR(__xludf.DUMMYFUNCTION("""COMPUTED_VALUE"""),942.0)</f>
        <v>942</v>
      </c>
      <c r="C73" s="5" t="str">
        <f>IFERROR(__xludf.DUMMYFUNCTION("""COMPUTED_VALUE"""),"LADY ZEHMA")</f>
        <v>LADY ZEHMA</v>
      </c>
      <c r="D73" s="5">
        <f>IFERROR(__xludf.DUMMYFUNCTION("""COMPUTED_VALUE"""),9303431.0)</f>
        <v>9303431</v>
      </c>
      <c r="E73" s="5" t="str">
        <f>IFERROR(__xludf.DUMMYFUNCTION("""COMPUTED_VALUE"""),"Chornomorsk")</f>
        <v>Chornomorsk</v>
      </c>
      <c r="F73" s="5" t="str">
        <f>IFERROR(__xludf.DUMMYFUNCTION("""COMPUTED_VALUE"""),"Egypt")</f>
        <v>Egypt</v>
      </c>
      <c r="G73" s="5" t="str">
        <f>IFERROR(__xludf.DUMMYFUNCTION("""COMPUTED_VALUE"""),"Corn")</f>
        <v>Corn</v>
      </c>
      <c r="H73" s="6">
        <f>IFERROR(__xludf.DUMMYFUNCTION("""COMPUTED_VALUE"""),19350.0)</f>
        <v>19350</v>
      </c>
      <c r="I73" s="7">
        <f>IFERROR(__xludf.DUMMYFUNCTION("""COMPUTED_VALUE"""),45056.0)</f>
        <v>45056</v>
      </c>
      <c r="J73" s="7">
        <f>IFERROR(__xludf.DUMMYFUNCTION("""COMPUTED_VALUE"""),45061.0)</f>
        <v>45061</v>
      </c>
      <c r="K73" s="5" t="str">
        <f>IFERROR(__xludf.DUMMYFUNCTION("""COMPUTED_VALUE"""),"lower-middle income")</f>
        <v>lower-middle income</v>
      </c>
      <c r="L73" s="5" t="str">
        <f>IFERROR(__xludf.DUMMYFUNCTION("""COMPUTED_VALUE"""),"Panama")</f>
        <v>Panama</v>
      </c>
      <c r="M73" s="5" t="str">
        <f>IFERROR(__xludf.DUMMYFUNCTION("""COMPUTED_VALUE"""),"Middle East &amp; North Africa")</f>
        <v>Middle East &amp; North Africa</v>
      </c>
      <c r="N73" s="5" t="str">
        <f>IFERROR(__xludf.DUMMYFUNCTION("""COMPUTED_VALUE"""),"Africa")</f>
        <v>Africa</v>
      </c>
      <c r="O73" s="5" t="str">
        <f>IFERROR(__xludf.DUMMYFUNCTION("""COMPUTED_VALUE"""),"developing")</f>
        <v>developing</v>
      </c>
      <c r="P73" s="5"/>
      <c r="Q73" s="5"/>
    </row>
    <row r="74">
      <c r="A74" s="5" t="str">
        <f>IFERROR(__xludf.DUMMYFUNCTION("""COMPUTED_VALUE"""),"Outbound +")</f>
        <v>Outbound +</v>
      </c>
      <c r="B74" s="5">
        <f>IFERROR(__xludf.DUMMYFUNCTION("""COMPUTED_VALUE"""),942.0)</f>
        <v>942</v>
      </c>
      <c r="C74" s="5" t="str">
        <f>IFERROR(__xludf.DUMMYFUNCTION("""COMPUTED_VALUE"""),"LADY ZEHMA")</f>
        <v>LADY ZEHMA</v>
      </c>
      <c r="D74" s="5">
        <f>IFERROR(__xludf.DUMMYFUNCTION("""COMPUTED_VALUE"""),9303431.0)</f>
        <v>9303431</v>
      </c>
      <c r="E74" s="5" t="str">
        <f>IFERROR(__xludf.DUMMYFUNCTION("""COMPUTED_VALUE"""),"Chornomorsk")</f>
        <v>Chornomorsk</v>
      </c>
      <c r="F74" s="5" t="str">
        <f>IFERROR(__xludf.DUMMYFUNCTION("""COMPUTED_VALUE"""),"Egypt")</f>
        <v>Egypt</v>
      </c>
      <c r="G74" s="5" t="str">
        <f>IFERROR(__xludf.DUMMYFUNCTION("""COMPUTED_VALUE"""),"Wheat")</f>
        <v>Wheat</v>
      </c>
      <c r="H74" s="6">
        <f>IFERROR(__xludf.DUMMYFUNCTION("""COMPUTED_VALUE"""),10650.0)</f>
        <v>10650</v>
      </c>
      <c r="I74" s="7">
        <f>IFERROR(__xludf.DUMMYFUNCTION("""COMPUTED_VALUE"""),45056.0)</f>
        <v>45056</v>
      </c>
      <c r="J74" s="7">
        <f>IFERROR(__xludf.DUMMYFUNCTION("""COMPUTED_VALUE"""),45061.0)</f>
        <v>45061</v>
      </c>
      <c r="K74" s="5" t="str">
        <f>IFERROR(__xludf.DUMMYFUNCTION("""COMPUTED_VALUE"""),"lower-middle income")</f>
        <v>lower-middle income</v>
      </c>
      <c r="L74" s="5" t="str">
        <f>IFERROR(__xludf.DUMMYFUNCTION("""COMPUTED_VALUE"""),"Panama")</f>
        <v>Panama</v>
      </c>
      <c r="M74" s="5" t="str">
        <f>IFERROR(__xludf.DUMMYFUNCTION("""COMPUTED_VALUE"""),"Middle East &amp; North Africa")</f>
        <v>Middle East &amp; North Africa</v>
      </c>
      <c r="N74" s="5" t="str">
        <f>IFERROR(__xludf.DUMMYFUNCTION("""COMPUTED_VALUE"""),"Africa")</f>
        <v>Africa</v>
      </c>
      <c r="O74" s="5" t="str">
        <f>IFERROR(__xludf.DUMMYFUNCTION("""COMPUTED_VALUE"""),"developing")</f>
        <v>developing</v>
      </c>
      <c r="P74" s="5"/>
      <c r="Q74" s="5"/>
    </row>
    <row r="75">
      <c r="A75" s="5" t="str">
        <f>IFERROR(__xludf.DUMMYFUNCTION("""COMPUTED_VALUE"""),"Outbound")</f>
        <v>Outbound</v>
      </c>
      <c r="B75" s="5">
        <f>IFERROR(__xludf.DUMMYFUNCTION("""COMPUTED_VALUE"""),941.0)</f>
        <v>941</v>
      </c>
      <c r="C75" s="5" t="str">
        <f>IFERROR(__xludf.DUMMYFUNCTION("""COMPUTED_VALUE"""),"ENEIDA")</f>
        <v>ENEIDA</v>
      </c>
      <c r="D75" s="5">
        <f>IFERROR(__xludf.DUMMYFUNCTION("""COMPUTED_VALUE"""),9198381.0)</f>
        <v>9198381</v>
      </c>
      <c r="E75" s="5" t="str">
        <f>IFERROR(__xludf.DUMMYFUNCTION("""COMPUTED_VALUE"""),"Chornomorsk")</f>
        <v>Chornomorsk</v>
      </c>
      <c r="F75" s="5" t="str">
        <f>IFERROR(__xludf.DUMMYFUNCTION("""COMPUTED_VALUE"""),"Spain")</f>
        <v>Spain</v>
      </c>
      <c r="G75" s="5" t="str">
        <f>IFERROR(__xludf.DUMMYFUNCTION("""COMPUTED_VALUE"""),"Corn")</f>
        <v>Corn</v>
      </c>
      <c r="H75" s="6">
        <f>IFERROR(__xludf.DUMMYFUNCTION("""COMPUTED_VALUE"""),41105.0)</f>
        <v>41105</v>
      </c>
      <c r="I75" s="7">
        <f>IFERROR(__xludf.DUMMYFUNCTION("""COMPUTED_VALUE"""),45056.0)</f>
        <v>45056</v>
      </c>
      <c r="J75" s="7">
        <f>IFERROR(__xludf.DUMMYFUNCTION("""COMPUTED_VALUE"""),45063.0)</f>
        <v>45063</v>
      </c>
      <c r="K75" s="5" t="str">
        <f>IFERROR(__xludf.DUMMYFUNCTION("""COMPUTED_VALUE"""),"high-income")</f>
        <v>high-income</v>
      </c>
      <c r="L75" s="5" t="str">
        <f>IFERROR(__xludf.DUMMYFUNCTION("""COMPUTED_VALUE"""),"Liberia")</f>
        <v>Liberia</v>
      </c>
      <c r="M75" s="5" t="str">
        <f>IFERROR(__xludf.DUMMYFUNCTION("""COMPUTED_VALUE"""),"Europe &amp; Central Asia")</f>
        <v>Europe &amp; Central Asia</v>
      </c>
      <c r="N75" s="5" t="str">
        <f>IFERROR(__xludf.DUMMYFUNCTION("""COMPUTED_VALUE"""),"Western Europe and Others")</f>
        <v>Western Europe and Others</v>
      </c>
      <c r="O75" s="5" t="str">
        <f>IFERROR(__xludf.DUMMYFUNCTION("""COMPUTED_VALUE"""),"developed")</f>
        <v>developed</v>
      </c>
      <c r="P75" s="5"/>
      <c r="Q75" s="5"/>
    </row>
    <row r="76">
      <c r="A76" s="5" t="str">
        <f>IFERROR(__xludf.DUMMYFUNCTION("""COMPUTED_VALUE"""),"Outbound")</f>
        <v>Outbound</v>
      </c>
      <c r="B76" s="5">
        <f>IFERROR(__xludf.DUMMYFUNCTION("""COMPUTED_VALUE"""),940.0)</f>
        <v>940</v>
      </c>
      <c r="C76" s="5" t="str">
        <f>IFERROR(__xludf.DUMMYFUNCTION("""COMPUTED_VALUE"""),"MAHA JACQUELINE")</f>
        <v>MAHA JACQUELINE</v>
      </c>
      <c r="D76" s="5">
        <f>IFERROR(__xludf.DUMMYFUNCTION("""COMPUTED_VALUE"""),9185073.0)</f>
        <v>9185073</v>
      </c>
      <c r="E76" s="5" t="str">
        <f>IFERROR(__xludf.DUMMYFUNCTION("""COMPUTED_VALUE"""),"Chornomorsk")</f>
        <v>Chornomorsk</v>
      </c>
      <c r="F76" s="5" t="str">
        <f>IFERROR(__xludf.DUMMYFUNCTION("""COMPUTED_VALUE"""),"Spain")</f>
        <v>Spain</v>
      </c>
      <c r="G76" s="5" t="str">
        <f>IFERROR(__xludf.DUMMYFUNCTION("""COMPUTED_VALUE"""),"Corn")</f>
        <v>Corn</v>
      </c>
      <c r="H76" s="6">
        <f>IFERROR(__xludf.DUMMYFUNCTION("""COMPUTED_VALUE"""),64229.0)</f>
        <v>64229</v>
      </c>
      <c r="I76" s="7">
        <f>IFERROR(__xludf.DUMMYFUNCTION("""COMPUTED_VALUE"""),45055.0)</f>
        <v>45055</v>
      </c>
      <c r="J76" s="7">
        <f>IFERROR(__xludf.DUMMYFUNCTION("""COMPUTED_VALUE"""),45061.0)</f>
        <v>45061</v>
      </c>
      <c r="K76" s="5" t="str">
        <f>IFERROR(__xludf.DUMMYFUNCTION("""COMPUTED_VALUE"""),"high-income")</f>
        <v>high-income</v>
      </c>
      <c r="L76" s="5" t="str">
        <f>IFERROR(__xludf.DUMMYFUNCTION("""COMPUTED_VALUE"""),"India")</f>
        <v>India</v>
      </c>
      <c r="M76" s="5" t="str">
        <f>IFERROR(__xludf.DUMMYFUNCTION("""COMPUTED_VALUE"""),"Europe &amp; Central Asia")</f>
        <v>Europe &amp; Central Asia</v>
      </c>
      <c r="N76" s="5" t="str">
        <f>IFERROR(__xludf.DUMMYFUNCTION("""COMPUTED_VALUE"""),"Western Europe and Others")</f>
        <v>Western Europe and Others</v>
      </c>
      <c r="O76" s="5" t="str">
        <f>IFERROR(__xludf.DUMMYFUNCTION("""COMPUTED_VALUE"""),"developed")</f>
        <v>developed</v>
      </c>
      <c r="P76" s="5"/>
      <c r="Q76" s="5"/>
    </row>
    <row r="77">
      <c r="A77" s="5" t="str">
        <f>IFERROR(__xludf.DUMMYFUNCTION("""COMPUTED_VALUE"""),"Outbound")</f>
        <v>Outbound</v>
      </c>
      <c r="B77" s="5">
        <f>IFERROR(__xludf.DUMMYFUNCTION("""COMPUTED_VALUE"""),939.0)</f>
        <v>939</v>
      </c>
      <c r="C77" s="5" t="str">
        <f>IFERROR(__xludf.DUMMYFUNCTION("""COMPUTED_VALUE"""),"WADI ALKARM")</f>
        <v>WADI ALKARM</v>
      </c>
      <c r="D77" s="5">
        <f>IFERROR(__xludf.DUMMYFUNCTION("""COMPUTED_VALUE"""),9460760.0)</f>
        <v>9460760</v>
      </c>
      <c r="E77" s="5" t="str">
        <f>IFERROR(__xludf.DUMMYFUNCTION("""COMPUTED_VALUE"""),"Yuzhny/Pivdennyi")</f>
        <v>Yuzhny/Pivdennyi</v>
      </c>
      <c r="F77" s="5" t="str">
        <f>IFERROR(__xludf.DUMMYFUNCTION("""COMPUTED_VALUE"""),"China")</f>
        <v>China</v>
      </c>
      <c r="G77" s="5" t="str">
        <f>IFERROR(__xludf.DUMMYFUNCTION("""COMPUTED_VALUE"""),"Corn")</f>
        <v>Corn</v>
      </c>
      <c r="H77" s="6">
        <f>IFERROR(__xludf.DUMMYFUNCTION("""COMPUTED_VALUE"""),10027.0)</f>
        <v>10027</v>
      </c>
      <c r="I77" s="7">
        <f>IFERROR(__xludf.DUMMYFUNCTION("""COMPUTED_VALUE"""),45054.0)</f>
        <v>45054</v>
      </c>
      <c r="J77" s="7">
        <f>IFERROR(__xludf.DUMMYFUNCTION("""COMPUTED_VALUE"""),45060.0)</f>
        <v>45060</v>
      </c>
      <c r="K77" s="5" t="str">
        <f>IFERROR(__xludf.DUMMYFUNCTION("""COMPUTED_VALUE"""),"upper-middle-income")</f>
        <v>upper-middle-income</v>
      </c>
      <c r="L77" s="5" t="str">
        <f>IFERROR(__xludf.DUMMYFUNCTION("""COMPUTED_VALUE"""),"Egypt")</f>
        <v>Egypt</v>
      </c>
      <c r="M77" s="5" t="str">
        <f>IFERROR(__xludf.DUMMYFUNCTION("""COMPUTED_VALUE"""),"East Asia &amp; Pacific")</f>
        <v>East Asia &amp; Pacific</v>
      </c>
      <c r="N77" s="5" t="str">
        <f>IFERROR(__xludf.DUMMYFUNCTION("""COMPUTED_VALUE"""),"Asia-Pacific")</f>
        <v>Asia-Pacific</v>
      </c>
      <c r="O77" s="5" t="str">
        <f>IFERROR(__xludf.DUMMYFUNCTION("""COMPUTED_VALUE"""),"developing")</f>
        <v>developing</v>
      </c>
      <c r="P77" s="5"/>
      <c r="Q77" s="5"/>
    </row>
    <row r="78">
      <c r="A78" s="5" t="str">
        <f>IFERROR(__xludf.DUMMYFUNCTION("""COMPUTED_VALUE"""),"Outbound +")</f>
        <v>Outbound +</v>
      </c>
      <c r="B78" s="5">
        <f>IFERROR(__xludf.DUMMYFUNCTION("""COMPUTED_VALUE"""),939.0)</f>
        <v>939</v>
      </c>
      <c r="C78" s="5" t="str">
        <f>IFERROR(__xludf.DUMMYFUNCTION("""COMPUTED_VALUE"""),"WADI ALKARM")</f>
        <v>WADI ALKARM</v>
      </c>
      <c r="D78" s="5">
        <f>IFERROR(__xludf.DUMMYFUNCTION("""COMPUTED_VALUE"""),9460760.0)</f>
        <v>9460760</v>
      </c>
      <c r="E78" s="5" t="str">
        <f>IFERROR(__xludf.DUMMYFUNCTION("""COMPUTED_VALUE"""),"Yuzhny/Pivdennyi")</f>
        <v>Yuzhny/Pivdennyi</v>
      </c>
      <c r="F78" s="5" t="str">
        <f>IFERROR(__xludf.DUMMYFUNCTION("""COMPUTED_VALUE"""),"China")</f>
        <v>China</v>
      </c>
      <c r="G78" s="5" t="str">
        <f>IFERROR(__xludf.DUMMYFUNCTION("""COMPUTED_VALUE"""),"Sunflower meal")</f>
        <v>Sunflower meal</v>
      </c>
      <c r="H78" s="6">
        <f>IFERROR(__xludf.DUMMYFUNCTION("""COMPUTED_VALUE"""),53157.0)</f>
        <v>53157</v>
      </c>
      <c r="I78" s="7">
        <f>IFERROR(__xludf.DUMMYFUNCTION("""COMPUTED_VALUE"""),45054.0)</f>
        <v>45054</v>
      </c>
      <c r="J78" s="7">
        <f>IFERROR(__xludf.DUMMYFUNCTION("""COMPUTED_VALUE"""),45060.0)</f>
        <v>45060</v>
      </c>
      <c r="K78" s="5" t="str">
        <f>IFERROR(__xludf.DUMMYFUNCTION("""COMPUTED_VALUE"""),"upper-middle-income")</f>
        <v>upper-middle-income</v>
      </c>
      <c r="L78" s="5" t="str">
        <f>IFERROR(__xludf.DUMMYFUNCTION("""COMPUTED_VALUE"""),"Egypt")</f>
        <v>Egypt</v>
      </c>
      <c r="M78" s="5" t="str">
        <f>IFERROR(__xludf.DUMMYFUNCTION("""COMPUTED_VALUE"""),"East Asia &amp; Pacific")</f>
        <v>East Asia &amp; Pacific</v>
      </c>
      <c r="N78" s="5" t="str">
        <f>IFERROR(__xludf.DUMMYFUNCTION("""COMPUTED_VALUE"""),"Asia-Pacific")</f>
        <v>Asia-Pacific</v>
      </c>
      <c r="O78" s="5" t="str">
        <f>IFERROR(__xludf.DUMMYFUNCTION("""COMPUTED_VALUE"""),"developing")</f>
        <v>developing</v>
      </c>
      <c r="P78" s="5"/>
      <c r="Q78" s="5"/>
    </row>
    <row r="79">
      <c r="A79" s="5" t="str">
        <f>IFERROR(__xludf.DUMMYFUNCTION("""COMPUTED_VALUE"""),"Outbound")</f>
        <v>Outbound</v>
      </c>
      <c r="B79" s="5">
        <f>IFERROR(__xludf.DUMMYFUNCTION("""COMPUTED_VALUE"""),938.0)</f>
        <v>938</v>
      </c>
      <c r="C79" s="5" t="str">
        <f>IFERROR(__xludf.DUMMYFUNCTION("""COMPUTED_VALUE"""),"MAGNUM POWER")</f>
        <v>MAGNUM POWER</v>
      </c>
      <c r="D79" s="5">
        <f>IFERROR(__xludf.DUMMYFUNCTION("""COMPUTED_VALUE"""),9488968.0)</f>
        <v>9488968</v>
      </c>
      <c r="E79" s="5" t="str">
        <f>IFERROR(__xludf.DUMMYFUNCTION("""COMPUTED_VALUE"""),"Odesa")</f>
        <v>Odesa</v>
      </c>
      <c r="F79" s="5" t="str">
        <f>IFERROR(__xludf.DUMMYFUNCTION("""COMPUTED_VALUE"""),"Bangladesh")</f>
        <v>Bangladesh</v>
      </c>
      <c r="G79" s="5" t="str">
        <f>IFERROR(__xludf.DUMMYFUNCTION("""COMPUTED_VALUE"""),"Wheat")</f>
        <v>Wheat</v>
      </c>
      <c r="H79" s="6">
        <f>IFERROR(__xludf.DUMMYFUNCTION("""COMPUTED_VALUE"""),50000.0)</f>
        <v>50000</v>
      </c>
      <c r="I79" s="7">
        <f>IFERROR(__xludf.DUMMYFUNCTION("""COMPUTED_VALUE"""),45054.0)</f>
        <v>45054</v>
      </c>
      <c r="J79" s="7">
        <f>IFERROR(__xludf.DUMMYFUNCTION("""COMPUTED_VALUE"""),45062.0)</f>
        <v>45062</v>
      </c>
      <c r="K79" s="5" t="str">
        <f>IFERROR(__xludf.DUMMYFUNCTION("""COMPUTED_VALUE"""),"lower-middle income")</f>
        <v>lower-middle income</v>
      </c>
      <c r="L79" s="5" t="str">
        <f>IFERROR(__xludf.DUMMYFUNCTION("""COMPUTED_VALUE"""),"Marshall Islands")</f>
        <v>Marshall Islands</v>
      </c>
      <c r="M79" s="5" t="str">
        <f>IFERROR(__xludf.DUMMYFUNCTION("""COMPUTED_VALUE"""),"South Asia")</f>
        <v>South Asia</v>
      </c>
      <c r="N79" s="5" t="str">
        <f>IFERROR(__xludf.DUMMYFUNCTION("""COMPUTED_VALUE"""),"Asia-Pacific")</f>
        <v>Asia-Pacific</v>
      </c>
      <c r="O79" s="5" t="str">
        <f>IFERROR(__xludf.DUMMYFUNCTION("""COMPUTED_VALUE"""),"developing")</f>
        <v>developing</v>
      </c>
      <c r="P79" s="5"/>
      <c r="Q79" s="5"/>
    </row>
    <row r="80">
      <c r="A80" s="5" t="str">
        <f>IFERROR(__xludf.DUMMYFUNCTION("""COMPUTED_VALUE"""),"Outbound")</f>
        <v>Outbound</v>
      </c>
      <c r="B80" s="5">
        <f>IFERROR(__xludf.DUMMYFUNCTION("""COMPUTED_VALUE"""),937.0)</f>
        <v>937</v>
      </c>
      <c r="C80" s="5" t="str">
        <f>IFERROR(__xludf.DUMMYFUNCTION("""COMPUTED_VALUE"""),"LUCKY GLORY")</f>
        <v>LUCKY GLORY</v>
      </c>
      <c r="D80" s="5">
        <f>IFERROR(__xludf.DUMMYFUNCTION("""COMPUTED_VALUE"""),9254111.0)</f>
        <v>9254111</v>
      </c>
      <c r="E80" s="5" t="str">
        <f>IFERROR(__xludf.DUMMYFUNCTION("""COMPUTED_VALUE"""),"Odesa")</f>
        <v>Odesa</v>
      </c>
      <c r="F80" s="5" t="str">
        <f>IFERROR(__xludf.DUMMYFUNCTION("""COMPUTED_VALUE"""),"China")</f>
        <v>China</v>
      </c>
      <c r="G80" s="5" t="str">
        <f>IFERROR(__xludf.DUMMYFUNCTION("""COMPUTED_VALUE"""),"Corn")</f>
        <v>Corn</v>
      </c>
      <c r="H80" s="6">
        <f>IFERROR(__xludf.DUMMYFUNCTION("""COMPUTED_VALUE"""),64000.0)</f>
        <v>64000</v>
      </c>
      <c r="I80" s="7">
        <f>IFERROR(__xludf.DUMMYFUNCTION("""COMPUTED_VALUE"""),45054.0)</f>
        <v>45054</v>
      </c>
      <c r="J80" s="7">
        <f>IFERROR(__xludf.DUMMYFUNCTION("""COMPUTED_VALUE"""),45061.0)</f>
        <v>45061</v>
      </c>
      <c r="K80" s="5" t="str">
        <f>IFERROR(__xludf.DUMMYFUNCTION("""COMPUTED_VALUE"""),"upper-middle-income")</f>
        <v>upper-middle-income</v>
      </c>
      <c r="L80" s="5" t="str">
        <f>IFERROR(__xludf.DUMMYFUNCTION("""COMPUTED_VALUE"""),"Panama")</f>
        <v>Panama</v>
      </c>
      <c r="M80" s="5" t="str">
        <f>IFERROR(__xludf.DUMMYFUNCTION("""COMPUTED_VALUE"""),"East Asia &amp; Pacific")</f>
        <v>East Asia &amp; Pacific</v>
      </c>
      <c r="N80" s="5" t="str">
        <f>IFERROR(__xludf.DUMMYFUNCTION("""COMPUTED_VALUE"""),"Asia-Pacific")</f>
        <v>Asia-Pacific</v>
      </c>
      <c r="O80" s="5" t="str">
        <f>IFERROR(__xludf.DUMMYFUNCTION("""COMPUTED_VALUE"""),"developing")</f>
        <v>developing</v>
      </c>
      <c r="P80" s="5"/>
      <c r="Q80" s="5"/>
    </row>
    <row r="81">
      <c r="A81" s="5" t="str">
        <f>IFERROR(__xludf.DUMMYFUNCTION("""COMPUTED_VALUE"""),"Outbound")</f>
        <v>Outbound</v>
      </c>
      <c r="B81" s="5">
        <f>IFERROR(__xludf.DUMMYFUNCTION("""COMPUTED_VALUE"""),936.0)</f>
        <v>936</v>
      </c>
      <c r="C81" s="5" t="str">
        <f>IFERROR(__xludf.DUMMYFUNCTION("""COMPUTED_VALUE"""),"NEW VENTURE")</f>
        <v>NEW VENTURE</v>
      </c>
      <c r="D81" s="5">
        <f>IFERROR(__xludf.DUMMYFUNCTION("""COMPUTED_VALUE"""),9597812.0)</f>
        <v>9597812</v>
      </c>
      <c r="E81" s="5" t="str">
        <f>IFERROR(__xludf.DUMMYFUNCTION("""COMPUTED_VALUE"""),"Odesa")</f>
        <v>Odesa</v>
      </c>
      <c r="F81" s="5" t="str">
        <f>IFERROR(__xludf.DUMMYFUNCTION("""COMPUTED_VALUE"""),"Spain")</f>
        <v>Spain</v>
      </c>
      <c r="G81" s="5" t="str">
        <f>IFERROR(__xludf.DUMMYFUNCTION("""COMPUTED_VALUE"""),"Corn")</f>
        <v>Corn</v>
      </c>
      <c r="H81" s="6">
        <f>IFERROR(__xludf.DUMMYFUNCTION("""COMPUTED_VALUE"""),9500.0)</f>
        <v>9500</v>
      </c>
      <c r="I81" s="7">
        <f>IFERROR(__xludf.DUMMYFUNCTION("""COMPUTED_VALUE"""),45052.0)</f>
        <v>45052</v>
      </c>
      <c r="J81" s="7">
        <f>IFERROR(__xludf.DUMMYFUNCTION("""COMPUTED_VALUE"""),45060.0)</f>
        <v>45060</v>
      </c>
      <c r="K81" s="5" t="str">
        <f>IFERROR(__xludf.DUMMYFUNCTION("""COMPUTED_VALUE"""),"high-income")</f>
        <v>high-income</v>
      </c>
      <c r="L81" s="5" t="str">
        <f>IFERROR(__xludf.DUMMYFUNCTION("""COMPUTED_VALUE"""),"Panama")</f>
        <v>Panama</v>
      </c>
      <c r="M81" s="5" t="str">
        <f>IFERROR(__xludf.DUMMYFUNCTION("""COMPUTED_VALUE"""),"Europe &amp; Central Asia")</f>
        <v>Europe &amp; Central Asia</v>
      </c>
      <c r="N81" s="5" t="str">
        <f>IFERROR(__xludf.DUMMYFUNCTION("""COMPUTED_VALUE"""),"Western Europe and Others")</f>
        <v>Western Europe and Others</v>
      </c>
      <c r="O81" s="5" t="str">
        <f>IFERROR(__xludf.DUMMYFUNCTION("""COMPUTED_VALUE"""),"developed")</f>
        <v>developed</v>
      </c>
      <c r="P81" s="5"/>
      <c r="Q81" s="5"/>
    </row>
    <row r="82">
      <c r="A82" s="5" t="str">
        <f>IFERROR(__xludf.DUMMYFUNCTION("""COMPUTED_VALUE"""),"Outbound +")</f>
        <v>Outbound +</v>
      </c>
      <c r="B82" s="5">
        <f>IFERROR(__xludf.DUMMYFUNCTION("""COMPUTED_VALUE"""),936.0)</f>
        <v>936</v>
      </c>
      <c r="C82" s="5" t="str">
        <f>IFERROR(__xludf.DUMMYFUNCTION("""COMPUTED_VALUE"""),"NEW VENTURE")</f>
        <v>NEW VENTURE</v>
      </c>
      <c r="D82" s="5">
        <f>IFERROR(__xludf.DUMMYFUNCTION("""COMPUTED_VALUE"""),9597812.0)</f>
        <v>9597812</v>
      </c>
      <c r="E82" s="5" t="str">
        <f>IFERROR(__xludf.DUMMYFUNCTION("""COMPUTED_VALUE"""),"Odesa")</f>
        <v>Odesa</v>
      </c>
      <c r="F82" s="5" t="str">
        <f>IFERROR(__xludf.DUMMYFUNCTION("""COMPUTED_VALUE"""),"Spain")</f>
        <v>Spain</v>
      </c>
      <c r="G82" s="5" t="str">
        <f>IFERROR(__xludf.DUMMYFUNCTION("""COMPUTED_VALUE"""),"Wheat")</f>
        <v>Wheat</v>
      </c>
      <c r="H82" s="6">
        <f>IFERROR(__xludf.DUMMYFUNCTION("""COMPUTED_VALUE"""),47800.0)</f>
        <v>47800</v>
      </c>
      <c r="I82" s="7">
        <f>IFERROR(__xludf.DUMMYFUNCTION("""COMPUTED_VALUE"""),45052.0)</f>
        <v>45052</v>
      </c>
      <c r="J82" s="7">
        <f>IFERROR(__xludf.DUMMYFUNCTION("""COMPUTED_VALUE"""),45060.0)</f>
        <v>45060</v>
      </c>
      <c r="K82" s="5" t="str">
        <f>IFERROR(__xludf.DUMMYFUNCTION("""COMPUTED_VALUE"""),"high-income")</f>
        <v>high-income</v>
      </c>
      <c r="L82" s="5" t="str">
        <f>IFERROR(__xludf.DUMMYFUNCTION("""COMPUTED_VALUE"""),"Panama")</f>
        <v>Panama</v>
      </c>
      <c r="M82" s="5" t="str">
        <f>IFERROR(__xludf.DUMMYFUNCTION("""COMPUTED_VALUE"""),"Europe &amp; Central Asia")</f>
        <v>Europe &amp; Central Asia</v>
      </c>
      <c r="N82" s="5" t="str">
        <f>IFERROR(__xludf.DUMMYFUNCTION("""COMPUTED_VALUE"""),"Western Europe and Others")</f>
        <v>Western Europe and Others</v>
      </c>
      <c r="O82" s="5" t="str">
        <f>IFERROR(__xludf.DUMMYFUNCTION("""COMPUTED_VALUE"""),"developed")</f>
        <v>developed</v>
      </c>
      <c r="P82" s="5"/>
      <c r="Q82" s="5"/>
    </row>
    <row r="83">
      <c r="A83" s="5" t="str">
        <f>IFERROR(__xludf.DUMMYFUNCTION("""COMPUTED_VALUE"""),"Outbound +")</f>
        <v>Outbound +</v>
      </c>
      <c r="B83" s="5">
        <f>IFERROR(__xludf.DUMMYFUNCTION("""COMPUTED_VALUE"""),936.0)</f>
        <v>936</v>
      </c>
      <c r="C83" s="5" t="str">
        <f>IFERROR(__xludf.DUMMYFUNCTION("""COMPUTED_VALUE"""),"NEW VENTURE")</f>
        <v>NEW VENTURE</v>
      </c>
      <c r="D83" s="5">
        <f>IFERROR(__xludf.DUMMYFUNCTION("""COMPUTED_VALUE"""),9597812.0)</f>
        <v>9597812</v>
      </c>
      <c r="E83" s="5" t="str">
        <f>IFERROR(__xludf.DUMMYFUNCTION("""COMPUTED_VALUE"""),"Odesa")</f>
        <v>Odesa</v>
      </c>
      <c r="F83" s="5" t="str">
        <f>IFERROR(__xludf.DUMMYFUNCTION("""COMPUTED_VALUE"""),"Spain")</f>
        <v>Spain</v>
      </c>
      <c r="G83" s="5" t="str">
        <f>IFERROR(__xludf.DUMMYFUNCTION("""COMPUTED_VALUE"""),"Barley")</f>
        <v>Barley</v>
      </c>
      <c r="H83" s="6">
        <f>IFERROR(__xludf.DUMMYFUNCTION("""COMPUTED_VALUE"""),9200.0)</f>
        <v>9200</v>
      </c>
      <c r="I83" s="7">
        <f>IFERROR(__xludf.DUMMYFUNCTION("""COMPUTED_VALUE"""),45052.0)</f>
        <v>45052</v>
      </c>
      <c r="J83" s="7">
        <f>IFERROR(__xludf.DUMMYFUNCTION("""COMPUTED_VALUE"""),45060.0)</f>
        <v>45060</v>
      </c>
      <c r="K83" s="5" t="str">
        <f>IFERROR(__xludf.DUMMYFUNCTION("""COMPUTED_VALUE"""),"high-income")</f>
        <v>high-income</v>
      </c>
      <c r="L83" s="5" t="str">
        <f>IFERROR(__xludf.DUMMYFUNCTION("""COMPUTED_VALUE"""),"Panama")</f>
        <v>Panama</v>
      </c>
      <c r="M83" s="5" t="str">
        <f>IFERROR(__xludf.DUMMYFUNCTION("""COMPUTED_VALUE"""),"Europe &amp; Central Asia")</f>
        <v>Europe &amp; Central Asia</v>
      </c>
      <c r="N83" s="5" t="str">
        <f>IFERROR(__xludf.DUMMYFUNCTION("""COMPUTED_VALUE"""),"Western Europe and Others")</f>
        <v>Western Europe and Others</v>
      </c>
      <c r="O83" s="5" t="str">
        <f>IFERROR(__xludf.DUMMYFUNCTION("""COMPUTED_VALUE"""),"developed")</f>
        <v>developed</v>
      </c>
      <c r="P83" s="5"/>
      <c r="Q83" s="5"/>
    </row>
    <row r="84">
      <c r="A84" s="5" t="str">
        <f>IFERROR(__xludf.DUMMYFUNCTION("""COMPUTED_VALUE"""),"Outbound")</f>
        <v>Outbound</v>
      </c>
      <c r="B84" s="5">
        <f>IFERROR(__xludf.DUMMYFUNCTION("""COMPUTED_VALUE"""),935.0)</f>
        <v>935</v>
      </c>
      <c r="C84" s="5" t="str">
        <f>IFERROR(__xludf.DUMMYFUNCTION("""COMPUTED_VALUE"""),"NADA")</f>
        <v>NADA</v>
      </c>
      <c r="D84" s="5">
        <f>IFERROR(__xludf.DUMMYFUNCTION("""COMPUTED_VALUE"""),9197088.0)</f>
        <v>9197088</v>
      </c>
      <c r="E84" s="5" t="str">
        <f>IFERROR(__xludf.DUMMYFUNCTION("""COMPUTED_VALUE"""),"Chornomorsk")</f>
        <v>Chornomorsk</v>
      </c>
      <c r="F84" s="5" t="str">
        <f>IFERROR(__xludf.DUMMYFUNCTION("""COMPUTED_VALUE"""),"Spain")</f>
        <v>Spain</v>
      </c>
      <c r="G84" s="5" t="str">
        <f>IFERROR(__xludf.DUMMYFUNCTION("""COMPUTED_VALUE"""),"Corn")</f>
        <v>Corn</v>
      </c>
      <c r="H84" s="6">
        <f>IFERROR(__xludf.DUMMYFUNCTION("""COMPUTED_VALUE"""),23009.0)</f>
        <v>23009</v>
      </c>
      <c r="I84" s="7">
        <f>IFERROR(__xludf.DUMMYFUNCTION("""COMPUTED_VALUE"""),45052.0)</f>
        <v>45052</v>
      </c>
      <c r="J84" s="7">
        <f>IFERROR(__xludf.DUMMYFUNCTION("""COMPUTED_VALUE"""),45060.0)</f>
        <v>45060</v>
      </c>
      <c r="K84" s="5" t="str">
        <f>IFERROR(__xludf.DUMMYFUNCTION("""COMPUTED_VALUE"""),"high-income")</f>
        <v>high-income</v>
      </c>
      <c r="L84" s="5" t="str">
        <f>IFERROR(__xludf.DUMMYFUNCTION("""COMPUTED_VALUE"""),"St. Kitts and Nevis")</f>
        <v>St. Kitts and Nevis</v>
      </c>
      <c r="M84" s="5" t="str">
        <f>IFERROR(__xludf.DUMMYFUNCTION("""COMPUTED_VALUE"""),"Europe &amp; Central Asia")</f>
        <v>Europe &amp; Central Asia</v>
      </c>
      <c r="N84" s="5" t="str">
        <f>IFERROR(__xludf.DUMMYFUNCTION("""COMPUTED_VALUE"""),"Western Europe and Others")</f>
        <v>Western Europe and Others</v>
      </c>
      <c r="O84" s="5" t="str">
        <f>IFERROR(__xludf.DUMMYFUNCTION("""COMPUTED_VALUE"""),"developed")</f>
        <v>developed</v>
      </c>
      <c r="P84" s="5"/>
      <c r="Q84" s="5"/>
    </row>
    <row r="85">
      <c r="A85" s="5" t="str">
        <f>IFERROR(__xludf.DUMMYFUNCTION("""COMPUTED_VALUE"""),"Outbound")</f>
        <v>Outbound</v>
      </c>
      <c r="B85" s="5">
        <f>IFERROR(__xludf.DUMMYFUNCTION("""COMPUTED_VALUE"""),934.0)</f>
        <v>934</v>
      </c>
      <c r="C85" s="5" t="str">
        <f>IFERROR(__xludf.DUMMYFUNCTION("""COMPUTED_VALUE"""),"LADY ZEHRA")</f>
        <v>LADY ZEHRA</v>
      </c>
      <c r="D85" s="5">
        <f>IFERROR(__xludf.DUMMYFUNCTION("""COMPUTED_VALUE"""),9309617.0)</f>
        <v>9309617</v>
      </c>
      <c r="E85" s="5" t="str">
        <f>IFERROR(__xludf.DUMMYFUNCTION("""COMPUTED_VALUE"""),"Chornomorsk")</f>
        <v>Chornomorsk</v>
      </c>
      <c r="F85" s="5" t="str">
        <f>IFERROR(__xludf.DUMMYFUNCTION("""COMPUTED_VALUE"""),"Spain")</f>
        <v>Spain</v>
      </c>
      <c r="G85" s="5" t="str">
        <f>IFERROR(__xludf.DUMMYFUNCTION("""COMPUTED_VALUE"""),"Wheat")</f>
        <v>Wheat</v>
      </c>
      <c r="H85" s="6">
        <f>IFERROR(__xludf.DUMMYFUNCTION("""COMPUTED_VALUE"""),30000.0)</f>
        <v>30000</v>
      </c>
      <c r="I85" s="7">
        <f>IFERROR(__xludf.DUMMYFUNCTION("""COMPUTED_VALUE"""),45052.0)</f>
        <v>45052</v>
      </c>
      <c r="J85" s="7">
        <f>IFERROR(__xludf.DUMMYFUNCTION("""COMPUTED_VALUE"""),45060.0)</f>
        <v>45060</v>
      </c>
      <c r="K85" s="5" t="str">
        <f>IFERROR(__xludf.DUMMYFUNCTION("""COMPUTED_VALUE"""),"high-income")</f>
        <v>high-income</v>
      </c>
      <c r="L85" s="5" t="str">
        <f>IFERROR(__xludf.DUMMYFUNCTION("""COMPUTED_VALUE"""),"Panama")</f>
        <v>Panama</v>
      </c>
      <c r="M85" s="5" t="str">
        <f>IFERROR(__xludf.DUMMYFUNCTION("""COMPUTED_VALUE"""),"Europe &amp; Central Asia")</f>
        <v>Europe &amp; Central Asia</v>
      </c>
      <c r="N85" s="5" t="str">
        <f>IFERROR(__xludf.DUMMYFUNCTION("""COMPUTED_VALUE"""),"Western Europe and Others")</f>
        <v>Western Europe and Others</v>
      </c>
      <c r="O85" s="5" t="str">
        <f>IFERROR(__xludf.DUMMYFUNCTION("""COMPUTED_VALUE"""),"developed")</f>
        <v>developed</v>
      </c>
      <c r="P85" s="5"/>
      <c r="Q85" s="5"/>
    </row>
    <row r="86">
      <c r="A86" s="5" t="str">
        <f>IFERROR(__xludf.DUMMYFUNCTION("""COMPUTED_VALUE"""),"Outbound")</f>
        <v>Outbound</v>
      </c>
      <c r="B86" s="5">
        <f>IFERROR(__xludf.DUMMYFUNCTION("""COMPUTED_VALUE"""),933.0)</f>
        <v>933</v>
      </c>
      <c r="C86" s="5" t="str">
        <f>IFERROR(__xludf.DUMMYFUNCTION("""COMPUTED_VALUE"""),"BELLA JUDI")</f>
        <v>BELLA JUDI</v>
      </c>
      <c r="D86" s="5">
        <f>IFERROR(__xludf.DUMMYFUNCTION("""COMPUTED_VALUE"""),9595371.0)</f>
        <v>9595371</v>
      </c>
      <c r="E86" s="5" t="str">
        <f>IFERROR(__xludf.DUMMYFUNCTION("""COMPUTED_VALUE"""),"Odesa")</f>
        <v>Odesa</v>
      </c>
      <c r="F86" s="5" t="str">
        <f>IFERROR(__xludf.DUMMYFUNCTION("""COMPUTED_VALUE"""),"Tunisia")</f>
        <v>Tunisia</v>
      </c>
      <c r="G86" s="5" t="str">
        <f>IFERROR(__xludf.DUMMYFUNCTION("""COMPUTED_VALUE"""),"Corn")</f>
        <v>Corn</v>
      </c>
      <c r="H86" s="6">
        <f>IFERROR(__xludf.DUMMYFUNCTION("""COMPUTED_VALUE"""),32300.0)</f>
        <v>32300</v>
      </c>
      <c r="I86" s="7">
        <f>IFERROR(__xludf.DUMMYFUNCTION("""COMPUTED_VALUE"""),45051.0)</f>
        <v>45051</v>
      </c>
      <c r="J86" s="7">
        <f>IFERROR(__xludf.DUMMYFUNCTION("""COMPUTED_VALUE"""),45060.0)</f>
        <v>45060</v>
      </c>
      <c r="K86" s="5" t="str">
        <f>IFERROR(__xludf.DUMMYFUNCTION("""COMPUTED_VALUE"""),"lower-middle income")</f>
        <v>lower-middle income</v>
      </c>
      <c r="L86" s="5" t="str">
        <f>IFERROR(__xludf.DUMMYFUNCTION("""COMPUTED_VALUE"""),"St. Vincent")</f>
        <v>St. Vincent</v>
      </c>
      <c r="M86" s="5" t="str">
        <f>IFERROR(__xludf.DUMMYFUNCTION("""COMPUTED_VALUE"""),"Middle East &amp; North Africa")</f>
        <v>Middle East &amp; North Africa</v>
      </c>
      <c r="N86" s="5" t="str">
        <f>IFERROR(__xludf.DUMMYFUNCTION("""COMPUTED_VALUE"""),"Africa")</f>
        <v>Africa</v>
      </c>
      <c r="O86" s="5" t="str">
        <f>IFERROR(__xludf.DUMMYFUNCTION("""COMPUTED_VALUE"""),"developing")</f>
        <v>developing</v>
      </c>
      <c r="P86" s="5"/>
      <c r="Q86" s="5"/>
    </row>
    <row r="87">
      <c r="A87" s="5" t="str">
        <f>IFERROR(__xludf.DUMMYFUNCTION("""COMPUTED_VALUE"""),"Outbound")</f>
        <v>Outbound</v>
      </c>
      <c r="B87" s="5">
        <f>IFERROR(__xludf.DUMMYFUNCTION("""COMPUTED_VALUE"""),932.0)</f>
        <v>932</v>
      </c>
      <c r="C87" s="5" t="str">
        <f>IFERROR(__xludf.DUMMYFUNCTION("""COMPUTED_VALUE"""),"TORC")</f>
        <v>TORC</v>
      </c>
      <c r="D87" s="5">
        <f>IFERROR(__xludf.DUMMYFUNCTION("""COMPUTED_VALUE"""),9544683.0)</f>
        <v>9544683</v>
      </c>
      <c r="E87" s="5" t="str">
        <f>IFERROR(__xludf.DUMMYFUNCTION("""COMPUTED_VALUE"""),"Yuzhny/Pivdennyi")</f>
        <v>Yuzhny/Pivdennyi</v>
      </c>
      <c r="F87" s="5" t="str">
        <f>IFERROR(__xludf.DUMMYFUNCTION("""COMPUTED_VALUE"""),"Türkiye")</f>
        <v>Türkiye</v>
      </c>
      <c r="G87" s="5" t="str">
        <f>IFERROR(__xludf.DUMMYFUNCTION("""COMPUTED_VALUE"""),"Sunflower oil")</f>
        <v>Sunflower oil</v>
      </c>
      <c r="H87" s="6">
        <f>IFERROR(__xludf.DUMMYFUNCTION("""COMPUTED_VALUE"""),12400.0)</f>
        <v>12400</v>
      </c>
      <c r="I87" s="7">
        <f>IFERROR(__xludf.DUMMYFUNCTION("""COMPUTED_VALUE"""),45050.0)</f>
        <v>45050</v>
      </c>
      <c r="J87" s="7">
        <f>IFERROR(__xludf.DUMMYFUNCTION("""COMPUTED_VALUE"""),45059.0)</f>
        <v>45059</v>
      </c>
      <c r="K87" s="5" t="str">
        <f>IFERROR(__xludf.DUMMYFUNCTION("""COMPUTED_VALUE"""),"upper-middle-income")</f>
        <v>upper-middle-income</v>
      </c>
      <c r="L87" s="5" t="str">
        <f>IFERROR(__xludf.DUMMYFUNCTION("""COMPUTED_VALUE"""),"Malta")</f>
        <v>Malta</v>
      </c>
      <c r="M87" s="5" t="str">
        <f>IFERROR(__xludf.DUMMYFUNCTION("""COMPUTED_VALUE"""),"Europe &amp; Central Asia")</f>
        <v>Europe &amp; Central Asia</v>
      </c>
      <c r="N87" s="5" t="str">
        <f>IFERROR(__xludf.DUMMYFUNCTION("""COMPUTED_VALUE"""),"Asia-Pacific")</f>
        <v>Asia-Pacific</v>
      </c>
      <c r="O87" s="5" t="str">
        <f>IFERROR(__xludf.DUMMYFUNCTION("""COMPUTED_VALUE"""),"developing")</f>
        <v>developing</v>
      </c>
      <c r="P87" s="5"/>
      <c r="Q87" s="5"/>
    </row>
    <row r="88">
      <c r="A88" s="5" t="str">
        <f>IFERROR(__xludf.DUMMYFUNCTION("""COMPUTED_VALUE"""),"Outbound")</f>
        <v>Outbound</v>
      </c>
      <c r="B88" s="5">
        <f>IFERROR(__xludf.DUMMYFUNCTION("""COMPUTED_VALUE"""),931.0)</f>
        <v>931</v>
      </c>
      <c r="C88" s="5" t="str">
        <f>IFERROR(__xludf.DUMMYFUNCTION("""COMPUTED_VALUE"""),"EUROSUN")</f>
        <v>EUROSUN</v>
      </c>
      <c r="D88" s="5">
        <f>IFERROR(__xludf.DUMMYFUNCTION("""COMPUTED_VALUE"""),9546227.0)</f>
        <v>9546227</v>
      </c>
      <c r="E88" s="5" t="str">
        <f>IFERROR(__xludf.DUMMYFUNCTION("""COMPUTED_VALUE"""),"Chornomorsk")</f>
        <v>Chornomorsk</v>
      </c>
      <c r="F88" s="5" t="str">
        <f>IFERROR(__xludf.DUMMYFUNCTION("""COMPUTED_VALUE"""),"Türkiye")</f>
        <v>Türkiye</v>
      </c>
      <c r="G88" s="5" t="str">
        <f>IFERROR(__xludf.DUMMYFUNCTION("""COMPUTED_VALUE"""),"Corn")</f>
        <v>Corn</v>
      </c>
      <c r="H88" s="6">
        <f>IFERROR(__xludf.DUMMYFUNCTION("""COMPUTED_VALUE"""),32700.0)</f>
        <v>32700</v>
      </c>
      <c r="I88" s="7">
        <f>IFERROR(__xludf.DUMMYFUNCTION("""COMPUTED_VALUE"""),45050.0)</f>
        <v>45050</v>
      </c>
      <c r="J88" s="7">
        <f>IFERROR(__xludf.DUMMYFUNCTION("""COMPUTED_VALUE"""),45059.0)</f>
        <v>45059</v>
      </c>
      <c r="K88" s="5" t="str">
        <f>IFERROR(__xludf.DUMMYFUNCTION("""COMPUTED_VALUE"""),"upper-middle-income")</f>
        <v>upper-middle-income</v>
      </c>
      <c r="L88" s="5" t="str">
        <f>IFERROR(__xludf.DUMMYFUNCTION("""COMPUTED_VALUE"""),"Liberia")</f>
        <v>Liberia</v>
      </c>
      <c r="M88" s="5" t="str">
        <f>IFERROR(__xludf.DUMMYFUNCTION("""COMPUTED_VALUE"""),"Europe &amp; Central Asia")</f>
        <v>Europe &amp; Central Asia</v>
      </c>
      <c r="N88" s="5" t="str">
        <f>IFERROR(__xludf.DUMMYFUNCTION("""COMPUTED_VALUE"""),"Asia-Pacific")</f>
        <v>Asia-Pacific</v>
      </c>
      <c r="O88" s="5" t="str">
        <f>IFERROR(__xludf.DUMMYFUNCTION("""COMPUTED_VALUE"""),"developing")</f>
        <v>developing</v>
      </c>
      <c r="P88" s="5"/>
      <c r="Q88" s="5"/>
    </row>
    <row r="89">
      <c r="A89" s="5" t="str">
        <f>IFERROR(__xludf.DUMMYFUNCTION("""COMPUTED_VALUE"""),"Outbound")</f>
        <v>Outbound</v>
      </c>
      <c r="B89" s="5">
        <f>IFERROR(__xludf.DUMMYFUNCTION("""COMPUTED_VALUE"""),930.0)</f>
        <v>930</v>
      </c>
      <c r="C89" s="5" t="str">
        <f>IFERROR(__xludf.DUMMYFUNCTION("""COMPUTED_VALUE"""),"SOFIA")</f>
        <v>SOFIA</v>
      </c>
      <c r="D89" s="5">
        <f>IFERROR(__xludf.DUMMYFUNCTION("""COMPUTED_VALUE"""),9472086.0)</f>
        <v>9472086</v>
      </c>
      <c r="E89" s="5" t="str">
        <f>IFERROR(__xludf.DUMMYFUNCTION("""COMPUTED_VALUE"""),"Odesa")</f>
        <v>Odesa</v>
      </c>
      <c r="F89" s="5" t="str">
        <f>IFERROR(__xludf.DUMMYFUNCTION("""COMPUTED_VALUE"""),"Bangladesh")</f>
        <v>Bangladesh</v>
      </c>
      <c r="G89" s="5" t="str">
        <f>IFERROR(__xludf.DUMMYFUNCTION("""COMPUTED_VALUE"""),"Wheat")</f>
        <v>Wheat</v>
      </c>
      <c r="H89" s="6">
        <f>IFERROR(__xludf.DUMMYFUNCTION("""COMPUTED_VALUE"""),54099.0)</f>
        <v>54099</v>
      </c>
      <c r="I89" s="7">
        <f>IFERROR(__xludf.DUMMYFUNCTION("""COMPUTED_VALUE"""),45049.0)</f>
        <v>45049</v>
      </c>
      <c r="J89" s="7">
        <f>IFERROR(__xludf.DUMMYFUNCTION("""COMPUTED_VALUE"""),45060.0)</f>
        <v>45060</v>
      </c>
      <c r="K89" s="5" t="str">
        <f>IFERROR(__xludf.DUMMYFUNCTION("""COMPUTED_VALUE"""),"lower-middle income")</f>
        <v>lower-middle income</v>
      </c>
      <c r="L89" s="5" t="str">
        <f>IFERROR(__xludf.DUMMYFUNCTION("""COMPUTED_VALUE"""),"Liberia")</f>
        <v>Liberia</v>
      </c>
      <c r="M89" s="5" t="str">
        <f>IFERROR(__xludf.DUMMYFUNCTION("""COMPUTED_VALUE"""),"South Asia")</f>
        <v>South Asia</v>
      </c>
      <c r="N89" s="5" t="str">
        <f>IFERROR(__xludf.DUMMYFUNCTION("""COMPUTED_VALUE"""),"Asia-Pacific")</f>
        <v>Asia-Pacific</v>
      </c>
      <c r="O89" s="5" t="str">
        <f>IFERROR(__xludf.DUMMYFUNCTION("""COMPUTED_VALUE"""),"developing")</f>
        <v>developing</v>
      </c>
      <c r="P89" s="5"/>
      <c r="Q89" s="5"/>
    </row>
    <row r="90">
      <c r="A90" s="5" t="str">
        <f>IFERROR(__xludf.DUMMYFUNCTION("""COMPUTED_VALUE"""),"Outbound")</f>
        <v>Outbound</v>
      </c>
      <c r="B90" s="5">
        <f>IFERROR(__xludf.DUMMYFUNCTION("""COMPUTED_VALUE"""),929.0)</f>
        <v>929</v>
      </c>
      <c r="C90" s="5" t="str">
        <f>IFERROR(__xludf.DUMMYFUNCTION("""COMPUTED_VALUE"""),"BC LARA")</f>
        <v>BC LARA</v>
      </c>
      <c r="D90" s="5">
        <f>IFERROR(__xludf.DUMMYFUNCTION("""COMPUTED_VALUE"""),9598024.0)</f>
        <v>9598024</v>
      </c>
      <c r="E90" s="5" t="str">
        <f>IFERROR(__xludf.DUMMYFUNCTION("""COMPUTED_VALUE"""),"Chornomorsk")</f>
        <v>Chornomorsk</v>
      </c>
      <c r="F90" s="5" t="str">
        <f>IFERROR(__xludf.DUMMYFUNCTION("""COMPUTED_VALUE"""),"Spain")</f>
        <v>Spain</v>
      </c>
      <c r="G90" s="5" t="str">
        <f>IFERROR(__xludf.DUMMYFUNCTION("""COMPUTED_VALUE"""),"Wheat")</f>
        <v>Wheat</v>
      </c>
      <c r="H90" s="6">
        <f>IFERROR(__xludf.DUMMYFUNCTION("""COMPUTED_VALUE"""),33000.0)</f>
        <v>33000</v>
      </c>
      <c r="I90" s="7">
        <f>IFERROR(__xludf.DUMMYFUNCTION("""COMPUTED_VALUE"""),45049.0)</f>
        <v>45049</v>
      </c>
      <c r="J90" s="7">
        <f>IFERROR(__xludf.DUMMYFUNCTION("""COMPUTED_VALUE"""),45059.0)</f>
        <v>45059</v>
      </c>
      <c r="K90" s="5" t="str">
        <f>IFERROR(__xludf.DUMMYFUNCTION("""COMPUTED_VALUE"""),"high-income")</f>
        <v>high-income</v>
      </c>
      <c r="L90" s="5" t="str">
        <f>IFERROR(__xludf.DUMMYFUNCTION("""COMPUTED_VALUE"""),"Barbados")</f>
        <v>Barbados</v>
      </c>
      <c r="M90" s="5" t="str">
        <f>IFERROR(__xludf.DUMMYFUNCTION("""COMPUTED_VALUE"""),"Europe &amp; Central Asia")</f>
        <v>Europe &amp; Central Asia</v>
      </c>
      <c r="N90" s="5" t="str">
        <f>IFERROR(__xludf.DUMMYFUNCTION("""COMPUTED_VALUE"""),"Western Europe and Others")</f>
        <v>Western Europe and Others</v>
      </c>
      <c r="O90" s="5" t="str">
        <f>IFERROR(__xludf.DUMMYFUNCTION("""COMPUTED_VALUE"""),"developed")</f>
        <v>developed</v>
      </c>
      <c r="P90" s="5"/>
      <c r="Q90" s="5"/>
    </row>
    <row r="91">
      <c r="A91" s="5" t="str">
        <f>IFERROR(__xludf.DUMMYFUNCTION("""COMPUTED_VALUE"""),"Outbound")</f>
        <v>Outbound</v>
      </c>
      <c r="B91" s="5">
        <f>IFERROR(__xludf.DUMMYFUNCTION("""COMPUTED_VALUE"""),928.0)</f>
        <v>928</v>
      </c>
      <c r="C91" s="5" t="str">
        <f>IFERROR(__xludf.DUMMYFUNCTION("""COMPUTED_VALUE"""),"ISLANDER")</f>
        <v>ISLANDER</v>
      </c>
      <c r="D91" s="5">
        <f>IFERROR(__xludf.DUMMYFUNCTION("""COMPUTED_VALUE"""),9136565.0)</f>
        <v>9136565</v>
      </c>
      <c r="E91" s="5" t="str">
        <f>IFERROR(__xludf.DUMMYFUNCTION("""COMPUTED_VALUE"""),"Chornomorsk")</f>
        <v>Chornomorsk</v>
      </c>
      <c r="F91" s="5" t="str">
        <f>IFERROR(__xludf.DUMMYFUNCTION("""COMPUTED_VALUE"""),"Morocco")</f>
        <v>Morocco</v>
      </c>
      <c r="G91" s="5" t="str">
        <f>IFERROR(__xludf.DUMMYFUNCTION("""COMPUTED_VALUE"""),"Sunflower meal")</f>
        <v>Sunflower meal</v>
      </c>
      <c r="H91" s="6">
        <f>IFERROR(__xludf.DUMMYFUNCTION("""COMPUTED_VALUE"""),16927.0)</f>
        <v>16927</v>
      </c>
      <c r="I91" s="7">
        <f>IFERROR(__xludf.DUMMYFUNCTION("""COMPUTED_VALUE"""),45047.0)</f>
        <v>45047</v>
      </c>
      <c r="J91" s="7">
        <f>IFERROR(__xludf.DUMMYFUNCTION("""COMPUTED_VALUE"""),45058.0)</f>
        <v>45058</v>
      </c>
      <c r="K91" s="5" t="str">
        <f>IFERROR(__xludf.DUMMYFUNCTION("""COMPUTED_VALUE"""),"lower-middle income")</f>
        <v>lower-middle income</v>
      </c>
      <c r="L91" s="5" t="str">
        <f>IFERROR(__xludf.DUMMYFUNCTION("""COMPUTED_VALUE"""),"Palau")</f>
        <v>Palau</v>
      </c>
      <c r="M91" s="5" t="str">
        <f>IFERROR(__xludf.DUMMYFUNCTION("""COMPUTED_VALUE"""),"Middle East &amp; North Africa")</f>
        <v>Middle East &amp; North Africa</v>
      </c>
      <c r="N91" s="5" t="str">
        <f>IFERROR(__xludf.DUMMYFUNCTION("""COMPUTED_VALUE"""),"Africa")</f>
        <v>Africa</v>
      </c>
      <c r="O91" s="5" t="str">
        <f>IFERROR(__xludf.DUMMYFUNCTION("""COMPUTED_VALUE"""),"developing")</f>
        <v>developing</v>
      </c>
      <c r="P91" s="5"/>
      <c r="Q91" s="5"/>
    </row>
    <row r="92">
      <c r="A92" s="5" t="str">
        <f>IFERROR(__xludf.DUMMYFUNCTION("""COMPUTED_VALUE"""),"Outbound")</f>
        <v>Outbound</v>
      </c>
      <c r="B92" s="5">
        <f>IFERROR(__xludf.DUMMYFUNCTION("""COMPUTED_VALUE"""),927.0)</f>
        <v>927</v>
      </c>
      <c r="C92" s="5" t="str">
        <f>IFERROR(__xludf.DUMMYFUNCTION("""COMPUTED_VALUE"""),"CHRYSANTHI S")</f>
        <v>CHRYSANTHI S</v>
      </c>
      <c r="D92" s="5">
        <f>IFERROR(__xludf.DUMMYFUNCTION("""COMPUTED_VALUE"""),9527441.0)</f>
        <v>9527441</v>
      </c>
      <c r="E92" s="5" t="str">
        <f>IFERROR(__xludf.DUMMYFUNCTION("""COMPUTED_VALUE"""),"Chornomorsk")</f>
        <v>Chornomorsk</v>
      </c>
      <c r="F92" s="5" t="str">
        <f>IFERROR(__xludf.DUMMYFUNCTION("""COMPUTED_VALUE"""),"The Netherlands")</f>
        <v>The Netherlands</v>
      </c>
      <c r="G92" s="5" t="str">
        <f>IFERROR(__xludf.DUMMYFUNCTION("""COMPUTED_VALUE"""),"Corn")</f>
        <v>Corn</v>
      </c>
      <c r="H92" s="6">
        <f>IFERROR(__xludf.DUMMYFUNCTION("""COMPUTED_VALUE"""),63276.0)</f>
        <v>63276</v>
      </c>
      <c r="I92" s="7">
        <f>IFERROR(__xludf.DUMMYFUNCTION("""COMPUTED_VALUE"""),45047.0)</f>
        <v>45047</v>
      </c>
      <c r="J92" s="7">
        <f>IFERROR(__xludf.DUMMYFUNCTION("""COMPUTED_VALUE"""),45059.0)</f>
        <v>45059</v>
      </c>
      <c r="K92" s="5" t="str">
        <f>IFERROR(__xludf.DUMMYFUNCTION("""COMPUTED_VALUE"""),"high-income")</f>
        <v>high-income</v>
      </c>
      <c r="L92" s="5" t="str">
        <f>IFERROR(__xludf.DUMMYFUNCTION("""COMPUTED_VALUE"""),"Liberia")</f>
        <v>Liberia</v>
      </c>
      <c r="M92" s="5" t="str">
        <f>IFERROR(__xludf.DUMMYFUNCTION("""COMPUTED_VALUE"""),"Europe &amp; Central Asia")</f>
        <v>Europe &amp; Central Asia</v>
      </c>
      <c r="N92" s="5" t="str">
        <f>IFERROR(__xludf.DUMMYFUNCTION("""COMPUTED_VALUE"""),"Western Europe and Others")</f>
        <v>Western Europe and Others</v>
      </c>
      <c r="O92" s="5" t="str">
        <f>IFERROR(__xludf.DUMMYFUNCTION("""COMPUTED_VALUE"""),"developed")</f>
        <v>developed</v>
      </c>
      <c r="P92" s="5"/>
      <c r="Q92" s="5"/>
    </row>
    <row r="93">
      <c r="A93" s="5" t="str">
        <f>IFERROR(__xludf.DUMMYFUNCTION("""COMPUTED_VALUE"""),"Outbound")</f>
        <v>Outbound</v>
      </c>
      <c r="B93" s="5">
        <f>IFERROR(__xludf.DUMMYFUNCTION("""COMPUTED_VALUE"""),926.0)</f>
        <v>926</v>
      </c>
      <c r="C93" s="5" t="str">
        <f>IFERROR(__xludf.DUMMYFUNCTION("""COMPUTED_VALUE"""),"CHAMPION PULA")</f>
        <v>CHAMPION PULA</v>
      </c>
      <c r="D93" s="5">
        <f>IFERROR(__xludf.DUMMYFUNCTION("""COMPUTED_VALUE"""),9341146.0)</f>
        <v>9341146</v>
      </c>
      <c r="E93" s="5" t="str">
        <f>IFERROR(__xludf.DUMMYFUNCTION("""COMPUTED_VALUE"""),"Odesa")</f>
        <v>Odesa</v>
      </c>
      <c r="F93" s="5" t="str">
        <f>IFERROR(__xludf.DUMMYFUNCTION("""COMPUTED_VALUE"""),"China")</f>
        <v>China</v>
      </c>
      <c r="G93" s="5" t="str">
        <f>IFERROR(__xludf.DUMMYFUNCTION("""COMPUTED_VALUE"""),"Sunflower oil")</f>
        <v>Sunflower oil</v>
      </c>
      <c r="H93" s="6">
        <f>IFERROR(__xludf.DUMMYFUNCTION("""COMPUTED_VALUE"""),39722.0)</f>
        <v>39722</v>
      </c>
      <c r="I93" s="7">
        <f>IFERROR(__xludf.DUMMYFUNCTION("""COMPUTED_VALUE"""),45047.0)</f>
        <v>45047</v>
      </c>
      <c r="J93" s="7">
        <f>IFERROR(__xludf.DUMMYFUNCTION("""COMPUTED_VALUE"""),45059.0)</f>
        <v>45059</v>
      </c>
      <c r="K93" s="5" t="str">
        <f>IFERROR(__xludf.DUMMYFUNCTION("""COMPUTED_VALUE"""),"upper-middle-income")</f>
        <v>upper-middle-income</v>
      </c>
      <c r="L93" s="5" t="str">
        <f>IFERROR(__xludf.DUMMYFUNCTION("""COMPUTED_VALUE"""),"Norway")</f>
        <v>Norway</v>
      </c>
      <c r="M93" s="5" t="str">
        <f>IFERROR(__xludf.DUMMYFUNCTION("""COMPUTED_VALUE"""),"East Asia &amp; Pacific")</f>
        <v>East Asia &amp; Pacific</v>
      </c>
      <c r="N93" s="5" t="str">
        <f>IFERROR(__xludf.DUMMYFUNCTION("""COMPUTED_VALUE"""),"Asia-Pacific")</f>
        <v>Asia-Pacific</v>
      </c>
      <c r="O93" s="5" t="str">
        <f>IFERROR(__xludf.DUMMYFUNCTION("""COMPUTED_VALUE"""),"developing")</f>
        <v>developing</v>
      </c>
      <c r="P93" s="5"/>
      <c r="Q93" s="5"/>
    </row>
    <row r="94">
      <c r="A94" s="5" t="str">
        <f>IFERROR(__xludf.DUMMYFUNCTION("""COMPUTED_VALUE"""),"Outbound")</f>
        <v>Outbound</v>
      </c>
      <c r="B94" s="5">
        <f>IFERROR(__xludf.DUMMYFUNCTION("""COMPUTED_VALUE"""),925.0)</f>
        <v>925</v>
      </c>
      <c r="C94" s="5" t="str">
        <f>IFERROR(__xludf.DUMMYFUNCTION("""COMPUTED_VALUE"""),"FAIA G")</f>
        <v>FAIA G</v>
      </c>
      <c r="D94" s="5">
        <f>IFERROR(__xludf.DUMMYFUNCTION("""COMPUTED_VALUE"""),9550424.0)</f>
        <v>9550424</v>
      </c>
      <c r="E94" s="5" t="str">
        <f>IFERROR(__xludf.DUMMYFUNCTION("""COMPUTED_VALUE"""),"Odesa")</f>
        <v>Odesa</v>
      </c>
      <c r="F94" s="5" t="str">
        <f>IFERROR(__xludf.DUMMYFUNCTION("""COMPUTED_VALUE"""),"Spain")</f>
        <v>Spain</v>
      </c>
      <c r="G94" s="5" t="str">
        <f>IFERROR(__xludf.DUMMYFUNCTION("""COMPUTED_VALUE"""),"Wheat")</f>
        <v>Wheat</v>
      </c>
      <c r="H94" s="6">
        <f>IFERROR(__xludf.DUMMYFUNCTION("""COMPUTED_VALUE"""),27600.0)</f>
        <v>27600</v>
      </c>
      <c r="I94" s="7">
        <f>IFERROR(__xludf.DUMMYFUNCTION("""COMPUTED_VALUE"""),45045.0)</f>
        <v>45045</v>
      </c>
      <c r="J94" s="7">
        <f>IFERROR(__xludf.DUMMYFUNCTION("""COMPUTED_VALUE"""),45058.0)</f>
        <v>45058</v>
      </c>
      <c r="K94" s="5" t="str">
        <f>IFERROR(__xludf.DUMMYFUNCTION("""COMPUTED_VALUE"""),"high-income")</f>
        <v>high-income</v>
      </c>
      <c r="L94" s="5" t="str">
        <f>IFERROR(__xludf.DUMMYFUNCTION("""COMPUTED_VALUE"""),"Malta")</f>
        <v>Malta</v>
      </c>
      <c r="M94" s="5" t="str">
        <f>IFERROR(__xludf.DUMMYFUNCTION("""COMPUTED_VALUE"""),"Europe &amp; Central Asia")</f>
        <v>Europe &amp; Central Asia</v>
      </c>
      <c r="N94" s="5" t="str">
        <f>IFERROR(__xludf.DUMMYFUNCTION("""COMPUTED_VALUE"""),"Western Europe and Others")</f>
        <v>Western Europe and Others</v>
      </c>
      <c r="O94" s="5" t="str">
        <f>IFERROR(__xludf.DUMMYFUNCTION("""COMPUTED_VALUE"""),"developed")</f>
        <v>developed</v>
      </c>
      <c r="P94" s="5"/>
      <c r="Q94" s="5"/>
    </row>
    <row r="95">
      <c r="A95" s="5" t="str">
        <f>IFERROR(__xludf.DUMMYFUNCTION("""COMPUTED_VALUE"""),"Outbound")</f>
        <v>Outbound</v>
      </c>
      <c r="B95" s="5">
        <f>IFERROR(__xludf.DUMMYFUNCTION("""COMPUTED_VALUE"""),924.0)</f>
        <v>924</v>
      </c>
      <c r="C95" s="5" t="str">
        <f>IFERROR(__xludf.DUMMYFUNCTION("""COMPUTED_VALUE"""),"ST. DIMITRIOS")</f>
        <v>ST. DIMITRIOS</v>
      </c>
      <c r="D95" s="5">
        <f>IFERROR(__xludf.DUMMYFUNCTION("""COMPUTED_VALUE"""),9401518.0)</f>
        <v>9401518</v>
      </c>
      <c r="E95" s="5" t="str">
        <f>IFERROR(__xludf.DUMMYFUNCTION("""COMPUTED_VALUE"""),"Odesa")</f>
        <v>Odesa</v>
      </c>
      <c r="F95" s="5" t="str">
        <f>IFERROR(__xludf.DUMMYFUNCTION("""COMPUTED_VALUE"""),"China")</f>
        <v>China</v>
      </c>
      <c r="G95" s="5" t="str">
        <f>IFERROR(__xludf.DUMMYFUNCTION("""COMPUTED_VALUE"""),"Corn")</f>
        <v>Corn</v>
      </c>
      <c r="H95" s="6">
        <f>IFERROR(__xludf.DUMMYFUNCTION("""COMPUTED_VALUE"""),67950.0)</f>
        <v>67950</v>
      </c>
      <c r="I95" s="7">
        <f>IFERROR(__xludf.DUMMYFUNCTION("""COMPUTED_VALUE"""),45044.0)</f>
        <v>45044</v>
      </c>
      <c r="J95" s="7">
        <f>IFERROR(__xludf.DUMMYFUNCTION("""COMPUTED_VALUE"""),45057.0)</f>
        <v>45057</v>
      </c>
      <c r="K95" s="5" t="str">
        <f>IFERROR(__xludf.DUMMYFUNCTION("""COMPUTED_VALUE"""),"upper-middle-income")</f>
        <v>upper-middle-income</v>
      </c>
      <c r="L95" s="5" t="str">
        <f>IFERROR(__xludf.DUMMYFUNCTION("""COMPUTED_VALUE"""),"Malta")</f>
        <v>Malta</v>
      </c>
      <c r="M95" s="5" t="str">
        <f>IFERROR(__xludf.DUMMYFUNCTION("""COMPUTED_VALUE"""),"East Asia &amp; Pacific")</f>
        <v>East Asia &amp; Pacific</v>
      </c>
      <c r="N95" s="5" t="str">
        <f>IFERROR(__xludf.DUMMYFUNCTION("""COMPUTED_VALUE"""),"Asia-Pacific")</f>
        <v>Asia-Pacific</v>
      </c>
      <c r="O95" s="5" t="str">
        <f>IFERROR(__xludf.DUMMYFUNCTION("""COMPUTED_VALUE"""),"developing")</f>
        <v>developing</v>
      </c>
      <c r="P95" s="5"/>
      <c r="Q95" s="5"/>
    </row>
    <row r="96">
      <c r="A96" s="5" t="str">
        <f>IFERROR(__xludf.DUMMYFUNCTION("""COMPUTED_VALUE"""),"Outbound")</f>
        <v>Outbound</v>
      </c>
      <c r="B96" s="5">
        <f>IFERROR(__xludf.DUMMYFUNCTION("""COMPUTED_VALUE"""),923.0)</f>
        <v>923</v>
      </c>
      <c r="C96" s="5" t="str">
        <f>IFERROR(__xludf.DUMMYFUNCTION("""COMPUTED_VALUE"""),"NEW VICTORY")</f>
        <v>NEW VICTORY</v>
      </c>
      <c r="D96" s="5">
        <f>IFERROR(__xludf.DUMMYFUNCTION("""COMPUTED_VALUE"""),9159050.0)</f>
        <v>9159050</v>
      </c>
      <c r="E96" s="5" t="str">
        <f>IFERROR(__xludf.DUMMYFUNCTION("""COMPUTED_VALUE"""),"Odesa")</f>
        <v>Odesa</v>
      </c>
      <c r="F96" s="5" t="str">
        <f>IFERROR(__xludf.DUMMYFUNCTION("""COMPUTED_VALUE"""),"Libya")</f>
        <v>Libya</v>
      </c>
      <c r="G96" s="5" t="str">
        <f>IFERROR(__xludf.DUMMYFUNCTION("""COMPUTED_VALUE"""),"Corn")</f>
        <v>Corn</v>
      </c>
      <c r="H96" s="6">
        <f>IFERROR(__xludf.DUMMYFUNCTION("""COMPUTED_VALUE"""),25500.0)</f>
        <v>25500</v>
      </c>
      <c r="I96" s="7">
        <f>IFERROR(__xludf.DUMMYFUNCTION("""COMPUTED_VALUE"""),45044.0)</f>
        <v>45044</v>
      </c>
      <c r="J96" s="7">
        <f>IFERROR(__xludf.DUMMYFUNCTION("""COMPUTED_VALUE"""),45059.0)</f>
        <v>45059</v>
      </c>
      <c r="K96" s="5" t="str">
        <f>IFERROR(__xludf.DUMMYFUNCTION("""COMPUTED_VALUE"""),"upper-middle-income")</f>
        <v>upper-middle-income</v>
      </c>
      <c r="L96" s="5" t="str">
        <f>IFERROR(__xludf.DUMMYFUNCTION("""COMPUTED_VALUE"""),"Belize")</f>
        <v>Belize</v>
      </c>
      <c r="M96" s="5" t="str">
        <f>IFERROR(__xludf.DUMMYFUNCTION("""COMPUTED_VALUE"""),"Middle East &amp; North Africa")</f>
        <v>Middle East &amp; North Africa</v>
      </c>
      <c r="N96" s="5" t="str">
        <f>IFERROR(__xludf.DUMMYFUNCTION("""COMPUTED_VALUE"""),"Africa")</f>
        <v>Africa</v>
      </c>
      <c r="O96" s="5" t="str">
        <f>IFERROR(__xludf.DUMMYFUNCTION("""COMPUTED_VALUE"""),"developing")</f>
        <v>developing</v>
      </c>
      <c r="P96" s="5"/>
      <c r="Q96" s="5"/>
    </row>
    <row r="97">
      <c r="A97" s="5" t="str">
        <f>IFERROR(__xludf.DUMMYFUNCTION("""COMPUTED_VALUE"""),"Outbound")</f>
        <v>Outbound</v>
      </c>
      <c r="B97" s="5">
        <f>IFERROR(__xludf.DUMMYFUNCTION("""COMPUTED_VALUE"""),922.0)</f>
        <v>922</v>
      </c>
      <c r="C97" s="5" t="str">
        <f>IFERROR(__xludf.DUMMYFUNCTION("""COMPUTED_VALUE"""),"FATMA SARI")</f>
        <v>FATMA SARI</v>
      </c>
      <c r="D97" s="5">
        <f>IFERROR(__xludf.DUMMYFUNCTION("""COMPUTED_VALUE"""),9087233.0)</f>
        <v>9087233</v>
      </c>
      <c r="E97" s="5" t="str">
        <f>IFERROR(__xludf.DUMMYFUNCTION("""COMPUTED_VALUE"""),"Chornomorsk")</f>
        <v>Chornomorsk</v>
      </c>
      <c r="F97" s="5" t="str">
        <f>IFERROR(__xludf.DUMMYFUNCTION("""COMPUTED_VALUE"""),"Egypt")</f>
        <v>Egypt</v>
      </c>
      <c r="G97" s="5" t="str">
        <f>IFERROR(__xludf.DUMMYFUNCTION("""COMPUTED_VALUE"""),"Corn")</f>
        <v>Corn</v>
      </c>
      <c r="H97" s="6">
        <f>IFERROR(__xludf.DUMMYFUNCTION("""COMPUTED_VALUE"""),38600.0)</f>
        <v>38600</v>
      </c>
      <c r="I97" s="7">
        <f>IFERROR(__xludf.DUMMYFUNCTION("""COMPUTED_VALUE"""),45044.0)</f>
        <v>45044</v>
      </c>
      <c r="J97" s="7">
        <f>IFERROR(__xludf.DUMMYFUNCTION("""COMPUTED_VALUE"""),45058.0)</f>
        <v>45058</v>
      </c>
      <c r="K97" s="5" t="str">
        <f>IFERROR(__xludf.DUMMYFUNCTION("""COMPUTED_VALUE"""),"lower-middle income")</f>
        <v>lower-middle income</v>
      </c>
      <c r="L97" s="5" t="str">
        <f>IFERROR(__xludf.DUMMYFUNCTION("""COMPUTED_VALUE"""),"Türkiye")</f>
        <v>Türkiye</v>
      </c>
      <c r="M97" s="5" t="str">
        <f>IFERROR(__xludf.DUMMYFUNCTION("""COMPUTED_VALUE"""),"Middle East &amp; North Africa")</f>
        <v>Middle East &amp; North Africa</v>
      </c>
      <c r="N97" s="5" t="str">
        <f>IFERROR(__xludf.DUMMYFUNCTION("""COMPUTED_VALUE"""),"Africa")</f>
        <v>Africa</v>
      </c>
      <c r="O97" s="5" t="str">
        <f>IFERROR(__xludf.DUMMYFUNCTION("""COMPUTED_VALUE"""),"developing")</f>
        <v>developing</v>
      </c>
      <c r="P97" s="5"/>
      <c r="Q97" s="5"/>
    </row>
    <row r="98">
      <c r="A98" s="5" t="str">
        <f>IFERROR(__xludf.DUMMYFUNCTION("""COMPUTED_VALUE"""),"Outbound")</f>
        <v>Outbound</v>
      </c>
      <c r="B98" s="5">
        <f>IFERROR(__xludf.DUMMYFUNCTION("""COMPUTED_VALUE"""),921.0)</f>
        <v>921</v>
      </c>
      <c r="C98" s="5" t="str">
        <f>IFERROR(__xludf.DUMMYFUNCTION("""COMPUTED_VALUE"""),"SEA BAZOU")</f>
        <v>SEA BAZOU</v>
      </c>
      <c r="D98" s="5">
        <f>IFERROR(__xludf.DUMMYFUNCTION("""COMPUTED_VALUE"""),9391141.0)</f>
        <v>9391141</v>
      </c>
      <c r="E98" s="5" t="str">
        <f>IFERROR(__xludf.DUMMYFUNCTION("""COMPUTED_VALUE"""),"Yuzhny/Pivdennyi")</f>
        <v>Yuzhny/Pivdennyi</v>
      </c>
      <c r="F98" s="5" t="str">
        <f>IFERROR(__xludf.DUMMYFUNCTION("""COMPUTED_VALUE"""),"China")</f>
        <v>China</v>
      </c>
      <c r="G98" s="5" t="str">
        <f>IFERROR(__xludf.DUMMYFUNCTION("""COMPUTED_VALUE"""),"Sunflower oil")</f>
        <v>Sunflower oil</v>
      </c>
      <c r="H98" s="6">
        <f>IFERROR(__xludf.DUMMYFUNCTION("""COMPUTED_VALUE"""),19230.0)</f>
        <v>19230</v>
      </c>
      <c r="I98" s="7">
        <f>IFERROR(__xludf.DUMMYFUNCTION("""COMPUTED_VALUE"""),45043.0)</f>
        <v>45043</v>
      </c>
      <c r="J98" s="7">
        <f>IFERROR(__xludf.DUMMYFUNCTION("""COMPUTED_VALUE"""),45058.0)</f>
        <v>45058</v>
      </c>
      <c r="K98" s="5" t="str">
        <f>IFERROR(__xludf.DUMMYFUNCTION("""COMPUTED_VALUE"""),"upper-middle-income")</f>
        <v>upper-middle-income</v>
      </c>
      <c r="L98" s="5" t="str">
        <f>IFERROR(__xludf.DUMMYFUNCTION("""COMPUTED_VALUE"""),"Liberia")</f>
        <v>Liberia</v>
      </c>
      <c r="M98" s="5" t="str">
        <f>IFERROR(__xludf.DUMMYFUNCTION("""COMPUTED_VALUE"""),"East Asia &amp; Pacific")</f>
        <v>East Asia &amp; Pacific</v>
      </c>
      <c r="N98" s="5" t="str">
        <f>IFERROR(__xludf.DUMMYFUNCTION("""COMPUTED_VALUE"""),"Asia-Pacific")</f>
        <v>Asia-Pacific</v>
      </c>
      <c r="O98" s="5" t="str">
        <f>IFERROR(__xludf.DUMMYFUNCTION("""COMPUTED_VALUE"""),"developing")</f>
        <v>developing</v>
      </c>
      <c r="P98" s="5"/>
      <c r="Q98" s="5"/>
    </row>
    <row r="99">
      <c r="A99" s="5" t="str">
        <f>IFERROR(__xludf.DUMMYFUNCTION("""COMPUTED_VALUE"""),"Outbound")</f>
        <v>Outbound</v>
      </c>
      <c r="B99" s="5">
        <f>IFERROR(__xludf.DUMMYFUNCTION("""COMPUTED_VALUE"""),920.0)</f>
        <v>920</v>
      </c>
      <c r="C99" s="5" t="str">
        <f>IFERROR(__xludf.DUMMYFUNCTION("""COMPUTED_VALUE"""),"RUBYMAR")</f>
        <v>RUBYMAR</v>
      </c>
      <c r="D99" s="5">
        <f>IFERROR(__xludf.DUMMYFUNCTION("""COMPUTED_VALUE"""),9138898.0)</f>
        <v>9138898</v>
      </c>
      <c r="E99" s="5" t="str">
        <f>IFERROR(__xludf.DUMMYFUNCTION("""COMPUTED_VALUE"""),"Yuzhny/Pivdennyi")</f>
        <v>Yuzhny/Pivdennyi</v>
      </c>
      <c r="F99" s="5" t="str">
        <f>IFERROR(__xludf.DUMMYFUNCTION("""COMPUTED_VALUE"""),"Türkiye")</f>
        <v>Türkiye</v>
      </c>
      <c r="G99" s="5" t="str">
        <f>IFERROR(__xludf.DUMMYFUNCTION("""COMPUTED_VALUE"""),"Wheat")</f>
        <v>Wheat</v>
      </c>
      <c r="H99" s="6">
        <f>IFERROR(__xludf.DUMMYFUNCTION("""COMPUTED_VALUE"""),30322.0)</f>
        <v>30322</v>
      </c>
      <c r="I99" s="7">
        <f>IFERROR(__xludf.DUMMYFUNCTION("""COMPUTED_VALUE"""),45043.0)</f>
        <v>45043</v>
      </c>
      <c r="J99" s="7">
        <f>IFERROR(__xludf.DUMMYFUNCTION("""COMPUTED_VALUE"""),45056.0)</f>
        <v>45056</v>
      </c>
      <c r="K99" s="5" t="str">
        <f>IFERROR(__xludf.DUMMYFUNCTION("""COMPUTED_VALUE"""),"upper-middle-income")</f>
        <v>upper-middle-income</v>
      </c>
      <c r="L99" s="5" t="str">
        <f>IFERROR(__xludf.DUMMYFUNCTION("""COMPUTED_VALUE"""),"Belize")</f>
        <v>Belize</v>
      </c>
      <c r="M99" s="5" t="str">
        <f>IFERROR(__xludf.DUMMYFUNCTION("""COMPUTED_VALUE"""),"Europe &amp; Central Asia")</f>
        <v>Europe &amp; Central Asia</v>
      </c>
      <c r="N99" s="5" t="str">
        <f>IFERROR(__xludf.DUMMYFUNCTION("""COMPUTED_VALUE"""),"Asia-Pacific")</f>
        <v>Asia-Pacific</v>
      </c>
      <c r="O99" s="5" t="str">
        <f>IFERROR(__xludf.DUMMYFUNCTION("""COMPUTED_VALUE"""),"developing")</f>
        <v>developing</v>
      </c>
      <c r="P99" s="5"/>
      <c r="Q99" s="5"/>
    </row>
    <row r="100">
      <c r="A100" s="5" t="str">
        <f>IFERROR(__xludf.DUMMYFUNCTION("""COMPUTED_VALUE"""),"Outbound")</f>
        <v>Outbound</v>
      </c>
      <c r="B100" s="5">
        <f>IFERROR(__xludf.DUMMYFUNCTION("""COMPUTED_VALUE"""),919.0)</f>
        <v>919</v>
      </c>
      <c r="C100" s="5" t="str">
        <f>IFERROR(__xludf.DUMMYFUNCTION("""COMPUTED_VALUE"""),"OCEANMASTER")</f>
        <v>OCEANMASTER</v>
      </c>
      <c r="D100" s="5">
        <f>IFERROR(__xludf.DUMMYFUNCTION("""COMPUTED_VALUE"""),9641340.0)</f>
        <v>9641340</v>
      </c>
      <c r="E100" s="5" t="str">
        <f>IFERROR(__xludf.DUMMYFUNCTION("""COMPUTED_VALUE"""),"Odesa")</f>
        <v>Odesa</v>
      </c>
      <c r="F100" s="5" t="str">
        <f>IFERROR(__xludf.DUMMYFUNCTION("""COMPUTED_VALUE"""),"Kenya")</f>
        <v>Kenya</v>
      </c>
      <c r="G100" s="5" t="str">
        <f>IFERROR(__xludf.DUMMYFUNCTION("""COMPUTED_VALUE"""),"Wheat")</f>
        <v>Wheat</v>
      </c>
      <c r="H100" s="6">
        <f>IFERROR(__xludf.DUMMYFUNCTION("""COMPUTED_VALUE"""),49840.0)</f>
        <v>49840</v>
      </c>
      <c r="I100" s="7">
        <f>IFERROR(__xludf.DUMMYFUNCTION("""COMPUTED_VALUE"""),45043.0)</f>
        <v>45043</v>
      </c>
      <c r="J100" s="7">
        <f>IFERROR(__xludf.DUMMYFUNCTION("""COMPUTED_VALUE"""),45058.0)</f>
        <v>45058</v>
      </c>
      <c r="K100" s="5" t="str">
        <f>IFERROR(__xludf.DUMMYFUNCTION("""COMPUTED_VALUE"""),"lower-middle income")</f>
        <v>lower-middle income</v>
      </c>
      <c r="L100" s="5" t="str">
        <f>IFERROR(__xludf.DUMMYFUNCTION("""COMPUTED_VALUE"""),"Liberia")</f>
        <v>Liberia</v>
      </c>
      <c r="M100" s="5" t="str">
        <f>IFERROR(__xludf.DUMMYFUNCTION("""COMPUTED_VALUE"""),"Sub-Saharan Africa")</f>
        <v>Sub-Saharan Africa</v>
      </c>
      <c r="N100" s="5" t="str">
        <f>IFERROR(__xludf.DUMMYFUNCTION("""COMPUTED_VALUE"""),"Africa")</f>
        <v>Africa</v>
      </c>
      <c r="O100" s="5" t="str">
        <f>IFERROR(__xludf.DUMMYFUNCTION("""COMPUTED_VALUE"""),"developing")</f>
        <v>developing</v>
      </c>
      <c r="P100" s="5"/>
      <c r="Q100" s="5"/>
    </row>
    <row r="101">
      <c r="A101" s="5" t="str">
        <f>IFERROR(__xludf.DUMMYFUNCTION("""COMPUTED_VALUE"""),"Outbound")</f>
        <v>Outbound</v>
      </c>
      <c r="B101" s="5">
        <f>IFERROR(__xludf.DUMMYFUNCTION("""COMPUTED_VALUE"""),918.0)</f>
        <v>918</v>
      </c>
      <c r="C101" s="5" t="str">
        <f>IFERROR(__xludf.DUMMYFUNCTION("""COMPUTED_VALUE"""),"AEGEA")</f>
        <v>AEGEA</v>
      </c>
      <c r="D101" s="5">
        <f>IFERROR(__xludf.DUMMYFUNCTION("""COMPUTED_VALUE"""),9217644.0)</f>
        <v>9217644</v>
      </c>
      <c r="E101" s="5" t="str">
        <f>IFERROR(__xludf.DUMMYFUNCTION("""COMPUTED_VALUE"""),"Chornomorsk")</f>
        <v>Chornomorsk</v>
      </c>
      <c r="F101" s="5" t="str">
        <f>IFERROR(__xludf.DUMMYFUNCTION("""COMPUTED_VALUE"""),"The Netherlands")</f>
        <v>The Netherlands</v>
      </c>
      <c r="G101" s="5" t="str">
        <f>IFERROR(__xludf.DUMMYFUNCTION("""COMPUTED_VALUE"""),"Corn")</f>
        <v>Corn</v>
      </c>
      <c r="H101" s="6">
        <f>IFERROR(__xludf.DUMMYFUNCTION("""COMPUTED_VALUE"""),62640.0)</f>
        <v>62640</v>
      </c>
      <c r="I101" s="7">
        <f>IFERROR(__xludf.DUMMYFUNCTION("""COMPUTED_VALUE"""),45043.0)</f>
        <v>45043</v>
      </c>
      <c r="J101" s="7">
        <f>IFERROR(__xludf.DUMMYFUNCTION("""COMPUTED_VALUE"""),45058.0)</f>
        <v>45058</v>
      </c>
      <c r="K101" s="5" t="str">
        <f>IFERROR(__xludf.DUMMYFUNCTION("""COMPUTED_VALUE"""),"high-income")</f>
        <v>high-income</v>
      </c>
      <c r="L101" s="5" t="str">
        <f>IFERROR(__xludf.DUMMYFUNCTION("""COMPUTED_VALUE"""),"Marshall Islands")</f>
        <v>Marshall Islands</v>
      </c>
      <c r="M101" s="5" t="str">
        <f>IFERROR(__xludf.DUMMYFUNCTION("""COMPUTED_VALUE"""),"Europe &amp; Central Asia")</f>
        <v>Europe &amp; Central Asia</v>
      </c>
      <c r="N101" s="5" t="str">
        <f>IFERROR(__xludf.DUMMYFUNCTION("""COMPUTED_VALUE"""),"Western Europe and Others")</f>
        <v>Western Europe and Others</v>
      </c>
      <c r="O101" s="5" t="str">
        <f>IFERROR(__xludf.DUMMYFUNCTION("""COMPUTED_VALUE"""),"developed")</f>
        <v>developed</v>
      </c>
      <c r="P101" s="5"/>
      <c r="Q101" s="5"/>
    </row>
    <row r="102">
      <c r="A102" s="5" t="str">
        <f>IFERROR(__xludf.DUMMYFUNCTION("""COMPUTED_VALUE"""),"Outbound")</f>
        <v>Outbound</v>
      </c>
      <c r="B102" s="5">
        <f>IFERROR(__xludf.DUMMYFUNCTION("""COMPUTED_VALUE"""),917.0)</f>
        <v>917</v>
      </c>
      <c r="C102" s="5" t="str">
        <f>IFERROR(__xludf.DUMMYFUNCTION("""COMPUTED_VALUE"""),"MICHALAKIS")</f>
        <v>MICHALAKIS</v>
      </c>
      <c r="D102" s="5">
        <f>IFERROR(__xludf.DUMMYFUNCTION("""COMPUTED_VALUE"""),9182162.0)</f>
        <v>9182162</v>
      </c>
      <c r="E102" s="5" t="str">
        <f>IFERROR(__xludf.DUMMYFUNCTION("""COMPUTED_VALUE"""),"Odesa")</f>
        <v>Odesa</v>
      </c>
      <c r="F102" s="5" t="str">
        <f>IFERROR(__xludf.DUMMYFUNCTION("""COMPUTED_VALUE"""),"Spain")</f>
        <v>Spain</v>
      </c>
      <c r="G102" s="5" t="str">
        <f>IFERROR(__xludf.DUMMYFUNCTION("""COMPUTED_VALUE"""),"Wheat")</f>
        <v>Wheat</v>
      </c>
      <c r="H102" s="6">
        <f>IFERROR(__xludf.DUMMYFUNCTION("""COMPUTED_VALUE"""),43640.0)</f>
        <v>43640</v>
      </c>
      <c r="I102" s="7">
        <f>IFERROR(__xludf.DUMMYFUNCTION("""COMPUTED_VALUE"""),45041.0)</f>
        <v>45041</v>
      </c>
      <c r="J102" s="7">
        <f>IFERROR(__xludf.DUMMYFUNCTION("""COMPUTED_VALUE"""),45057.0)</f>
        <v>45057</v>
      </c>
      <c r="K102" s="5" t="str">
        <f>IFERROR(__xludf.DUMMYFUNCTION("""COMPUTED_VALUE"""),"high-income")</f>
        <v>high-income</v>
      </c>
      <c r="L102" s="5" t="str">
        <f>IFERROR(__xludf.DUMMYFUNCTION("""COMPUTED_VALUE"""),"Belize")</f>
        <v>Belize</v>
      </c>
      <c r="M102" s="5" t="str">
        <f>IFERROR(__xludf.DUMMYFUNCTION("""COMPUTED_VALUE"""),"Europe &amp; Central Asia")</f>
        <v>Europe &amp; Central Asia</v>
      </c>
      <c r="N102" s="5" t="str">
        <f>IFERROR(__xludf.DUMMYFUNCTION("""COMPUTED_VALUE"""),"Western Europe and Others")</f>
        <v>Western Europe and Others</v>
      </c>
      <c r="O102" s="5" t="str">
        <f>IFERROR(__xludf.DUMMYFUNCTION("""COMPUTED_VALUE"""),"developed")</f>
        <v>developed</v>
      </c>
      <c r="P102" s="5"/>
      <c r="Q102" s="5"/>
    </row>
    <row r="103">
      <c r="A103" s="5" t="str">
        <f>IFERROR(__xludf.DUMMYFUNCTION("""COMPUTED_VALUE"""),"Outbound")</f>
        <v>Outbound</v>
      </c>
      <c r="B103" s="5">
        <f>IFERROR(__xludf.DUMMYFUNCTION("""COMPUTED_VALUE"""),916.0)</f>
        <v>916</v>
      </c>
      <c r="C103" s="5" t="str">
        <f>IFERROR(__xludf.DUMMYFUNCTION("""COMPUTED_VALUE"""),"AMFITRITI")</f>
        <v>AMFITRITI</v>
      </c>
      <c r="D103" s="5">
        <f>IFERROR(__xludf.DUMMYFUNCTION("""COMPUTED_VALUE"""),9463592.0)</f>
        <v>9463592</v>
      </c>
      <c r="E103" s="5" t="str">
        <f>IFERROR(__xludf.DUMMYFUNCTION("""COMPUTED_VALUE"""),"Chornomorsk")</f>
        <v>Chornomorsk</v>
      </c>
      <c r="F103" s="5" t="str">
        <f>IFERROR(__xludf.DUMMYFUNCTION("""COMPUTED_VALUE"""),"Spain")</f>
        <v>Spain</v>
      </c>
      <c r="G103" s="5" t="str">
        <f>IFERROR(__xludf.DUMMYFUNCTION("""COMPUTED_VALUE"""),"Wheat")</f>
        <v>Wheat</v>
      </c>
      <c r="H103" s="6">
        <f>IFERROR(__xludf.DUMMYFUNCTION("""COMPUTED_VALUE"""),55000.0)</f>
        <v>55000</v>
      </c>
      <c r="I103" s="7">
        <f>IFERROR(__xludf.DUMMYFUNCTION("""COMPUTED_VALUE"""),45041.0)</f>
        <v>45041</v>
      </c>
      <c r="J103" s="7">
        <f>IFERROR(__xludf.DUMMYFUNCTION("""COMPUTED_VALUE"""),45057.0)</f>
        <v>45057</v>
      </c>
      <c r="K103" s="5" t="str">
        <f>IFERROR(__xludf.DUMMYFUNCTION("""COMPUTED_VALUE"""),"high-income")</f>
        <v>high-income</v>
      </c>
      <c r="L103" s="5" t="str">
        <f>IFERROR(__xludf.DUMMYFUNCTION("""COMPUTED_VALUE"""),"Greece")</f>
        <v>Greece</v>
      </c>
      <c r="M103" s="5" t="str">
        <f>IFERROR(__xludf.DUMMYFUNCTION("""COMPUTED_VALUE"""),"Europe &amp; Central Asia")</f>
        <v>Europe &amp; Central Asia</v>
      </c>
      <c r="N103" s="5" t="str">
        <f>IFERROR(__xludf.DUMMYFUNCTION("""COMPUTED_VALUE"""),"Western Europe and Others")</f>
        <v>Western Europe and Others</v>
      </c>
      <c r="O103" s="5" t="str">
        <f>IFERROR(__xludf.DUMMYFUNCTION("""COMPUTED_VALUE"""),"developed")</f>
        <v>developed</v>
      </c>
      <c r="P103" s="5"/>
      <c r="Q103" s="5"/>
    </row>
    <row r="104">
      <c r="A104" s="5" t="str">
        <f>IFERROR(__xludf.DUMMYFUNCTION("""COMPUTED_VALUE"""),"Outbound")</f>
        <v>Outbound</v>
      </c>
      <c r="B104" s="5">
        <f>IFERROR(__xludf.DUMMYFUNCTION("""COMPUTED_VALUE"""),915.0)</f>
        <v>915</v>
      </c>
      <c r="C104" s="5" t="str">
        <f>IFERROR(__xludf.DUMMYFUNCTION("""COMPUTED_VALUE"""),"AKDENIZ M (WFP)")</f>
        <v>AKDENIZ M (WFP)</v>
      </c>
      <c r="D104" s="5">
        <f>IFERROR(__xludf.DUMMYFUNCTION("""COMPUTED_VALUE"""),9261047.0)</f>
        <v>9261047</v>
      </c>
      <c r="E104" s="5" t="str">
        <f>IFERROR(__xludf.DUMMYFUNCTION("""COMPUTED_VALUE"""),"Odesa")</f>
        <v>Odesa</v>
      </c>
      <c r="F104" s="5" t="str">
        <f>IFERROR(__xludf.DUMMYFUNCTION("""COMPUTED_VALUE"""),"Ethiopia")</f>
        <v>Ethiopia</v>
      </c>
      <c r="G104" s="5" t="str">
        <f>IFERROR(__xludf.DUMMYFUNCTION("""COMPUTED_VALUE"""),"Wheat")</f>
        <v>Wheat</v>
      </c>
      <c r="H104" s="6">
        <f>IFERROR(__xludf.DUMMYFUNCTION("""COMPUTED_VALUE"""),30000.0)</f>
        <v>30000</v>
      </c>
      <c r="I104" s="7">
        <f>IFERROR(__xludf.DUMMYFUNCTION("""COMPUTED_VALUE"""),45041.0)</f>
        <v>45041</v>
      </c>
      <c r="J104" s="7">
        <f>IFERROR(__xludf.DUMMYFUNCTION("""COMPUTED_VALUE"""),45057.0)</f>
        <v>45057</v>
      </c>
      <c r="K104" s="5" t="str">
        <f>IFERROR(__xludf.DUMMYFUNCTION("""COMPUTED_VALUE"""),"low-income")</f>
        <v>low-income</v>
      </c>
      <c r="L104" s="5" t="str">
        <f>IFERROR(__xludf.DUMMYFUNCTION("""COMPUTED_VALUE"""),"Panama")</f>
        <v>Panama</v>
      </c>
      <c r="M104" s="5" t="str">
        <f>IFERROR(__xludf.DUMMYFUNCTION("""COMPUTED_VALUE"""),"Sub-Saharan Africa")</f>
        <v>Sub-Saharan Africa</v>
      </c>
      <c r="N104" s="5" t="str">
        <f>IFERROR(__xludf.DUMMYFUNCTION("""COMPUTED_VALUE"""),"Africa")</f>
        <v>Africa</v>
      </c>
      <c r="O104" s="5" t="str">
        <f>IFERROR(__xludf.DUMMYFUNCTION("""COMPUTED_VALUE"""),"developing")</f>
        <v>developing</v>
      </c>
      <c r="P104" s="5" t="str">
        <f>IFERROR(__xludf.DUMMYFUNCTION("""COMPUTED_VALUE"""),"WFP")</f>
        <v>WFP</v>
      </c>
      <c r="Q104" s="5"/>
    </row>
    <row r="105">
      <c r="A105" s="5" t="str">
        <f>IFERROR(__xludf.DUMMYFUNCTION("""COMPUTED_VALUE"""),"Outbound")</f>
        <v>Outbound</v>
      </c>
      <c r="B105" s="5">
        <f>IFERROR(__xludf.DUMMYFUNCTION("""COMPUTED_VALUE"""),914.0)</f>
        <v>914</v>
      </c>
      <c r="C105" s="5" t="str">
        <f>IFERROR(__xludf.DUMMYFUNCTION("""COMPUTED_VALUE"""),"TRAMP LADY")</f>
        <v>TRAMP LADY</v>
      </c>
      <c r="D105" s="5">
        <f>IFERROR(__xludf.DUMMYFUNCTION("""COMPUTED_VALUE"""),9286621.0)</f>
        <v>9286621</v>
      </c>
      <c r="E105" s="5" t="str">
        <f>IFERROR(__xludf.DUMMYFUNCTION("""COMPUTED_VALUE"""),"Odesa")</f>
        <v>Odesa</v>
      </c>
      <c r="F105" s="5" t="str">
        <f>IFERROR(__xludf.DUMMYFUNCTION("""COMPUTED_VALUE"""),"Spain")</f>
        <v>Spain</v>
      </c>
      <c r="G105" s="5" t="str">
        <f>IFERROR(__xludf.DUMMYFUNCTION("""COMPUTED_VALUE"""),"Corn")</f>
        <v>Corn</v>
      </c>
      <c r="H105" s="6">
        <f>IFERROR(__xludf.DUMMYFUNCTION("""COMPUTED_VALUE"""),9570.0)</f>
        <v>9570</v>
      </c>
      <c r="I105" s="7">
        <f>IFERROR(__xludf.DUMMYFUNCTION("""COMPUTED_VALUE"""),45039.0)</f>
        <v>45039</v>
      </c>
      <c r="J105" s="7">
        <f>IFERROR(__xludf.DUMMYFUNCTION("""COMPUTED_VALUE"""),45056.0)</f>
        <v>45056</v>
      </c>
      <c r="K105" s="5" t="str">
        <f>IFERROR(__xludf.DUMMYFUNCTION("""COMPUTED_VALUE"""),"high-income")</f>
        <v>high-income</v>
      </c>
      <c r="L105" s="5" t="str">
        <f>IFERROR(__xludf.DUMMYFUNCTION("""COMPUTED_VALUE"""),"Malta")</f>
        <v>Malta</v>
      </c>
      <c r="M105" s="5" t="str">
        <f>IFERROR(__xludf.DUMMYFUNCTION("""COMPUTED_VALUE"""),"Europe &amp; Central Asia")</f>
        <v>Europe &amp; Central Asia</v>
      </c>
      <c r="N105" s="5" t="str">
        <f>IFERROR(__xludf.DUMMYFUNCTION("""COMPUTED_VALUE"""),"Western Europe and Others")</f>
        <v>Western Europe and Others</v>
      </c>
      <c r="O105" s="5" t="str">
        <f>IFERROR(__xludf.DUMMYFUNCTION("""COMPUTED_VALUE"""),"developed")</f>
        <v>developed</v>
      </c>
      <c r="P105" s="5"/>
      <c r="Q105" s="5"/>
    </row>
    <row r="106">
      <c r="A106" s="5" t="str">
        <f>IFERROR(__xludf.DUMMYFUNCTION("""COMPUTED_VALUE"""),"Outbound +")</f>
        <v>Outbound +</v>
      </c>
      <c r="B106" s="5">
        <f>IFERROR(__xludf.DUMMYFUNCTION("""COMPUTED_VALUE"""),914.0)</f>
        <v>914</v>
      </c>
      <c r="C106" s="5" t="str">
        <f>IFERROR(__xludf.DUMMYFUNCTION("""COMPUTED_VALUE"""),"TRAMP LADY")</f>
        <v>TRAMP LADY</v>
      </c>
      <c r="D106" s="5">
        <f>IFERROR(__xludf.DUMMYFUNCTION("""COMPUTED_VALUE"""),9286621.0)</f>
        <v>9286621</v>
      </c>
      <c r="E106" s="5" t="str">
        <f>IFERROR(__xludf.DUMMYFUNCTION("""COMPUTED_VALUE"""),"Odesa")</f>
        <v>Odesa</v>
      </c>
      <c r="F106" s="5" t="str">
        <f>IFERROR(__xludf.DUMMYFUNCTION("""COMPUTED_VALUE"""),"Spain")</f>
        <v>Spain</v>
      </c>
      <c r="G106" s="5" t="str">
        <f>IFERROR(__xludf.DUMMYFUNCTION("""COMPUTED_VALUE"""),"Barley")</f>
        <v>Barley</v>
      </c>
      <c r="H106" s="6">
        <f>IFERROR(__xludf.DUMMYFUNCTION("""COMPUTED_VALUE"""),8500.0)</f>
        <v>8500</v>
      </c>
      <c r="I106" s="7">
        <f>IFERROR(__xludf.DUMMYFUNCTION("""COMPUTED_VALUE"""),45039.0)</f>
        <v>45039</v>
      </c>
      <c r="J106" s="7">
        <f>IFERROR(__xludf.DUMMYFUNCTION("""COMPUTED_VALUE"""),45056.0)</f>
        <v>45056</v>
      </c>
      <c r="K106" s="5" t="str">
        <f>IFERROR(__xludf.DUMMYFUNCTION("""COMPUTED_VALUE"""),"high-income")</f>
        <v>high-income</v>
      </c>
      <c r="L106" s="5" t="str">
        <f>IFERROR(__xludf.DUMMYFUNCTION("""COMPUTED_VALUE"""),"Malta")</f>
        <v>Malta</v>
      </c>
      <c r="M106" s="5" t="str">
        <f>IFERROR(__xludf.DUMMYFUNCTION("""COMPUTED_VALUE"""),"Europe &amp; Central Asia")</f>
        <v>Europe &amp; Central Asia</v>
      </c>
      <c r="N106" s="5" t="str">
        <f>IFERROR(__xludf.DUMMYFUNCTION("""COMPUTED_VALUE"""),"Western Europe and Others")</f>
        <v>Western Europe and Others</v>
      </c>
      <c r="O106" s="5" t="str">
        <f>IFERROR(__xludf.DUMMYFUNCTION("""COMPUTED_VALUE"""),"developed")</f>
        <v>developed</v>
      </c>
      <c r="P106" s="5"/>
      <c r="Q106" s="5"/>
    </row>
    <row r="107">
      <c r="A107" s="5" t="str">
        <f>IFERROR(__xludf.DUMMYFUNCTION("""COMPUTED_VALUE"""),"Outbound +")</f>
        <v>Outbound +</v>
      </c>
      <c r="B107" s="5">
        <f>IFERROR(__xludf.DUMMYFUNCTION("""COMPUTED_VALUE"""),914.0)</f>
        <v>914</v>
      </c>
      <c r="C107" s="5" t="str">
        <f>IFERROR(__xludf.DUMMYFUNCTION("""COMPUTED_VALUE"""),"TRAMP LADY")</f>
        <v>TRAMP LADY</v>
      </c>
      <c r="D107" s="5">
        <f>IFERROR(__xludf.DUMMYFUNCTION("""COMPUTED_VALUE"""),9286621.0)</f>
        <v>9286621</v>
      </c>
      <c r="E107" s="5" t="str">
        <f>IFERROR(__xludf.DUMMYFUNCTION("""COMPUTED_VALUE"""),"Odesa")</f>
        <v>Odesa</v>
      </c>
      <c r="F107" s="5" t="str">
        <f>IFERROR(__xludf.DUMMYFUNCTION("""COMPUTED_VALUE"""),"Spain")</f>
        <v>Spain</v>
      </c>
      <c r="G107" s="5" t="str">
        <f>IFERROR(__xludf.DUMMYFUNCTION("""COMPUTED_VALUE"""),"Wheat")</f>
        <v>Wheat</v>
      </c>
      <c r="H107" s="6">
        <f>IFERROR(__xludf.DUMMYFUNCTION("""COMPUTED_VALUE"""),47360.0)</f>
        <v>47360</v>
      </c>
      <c r="I107" s="7">
        <f>IFERROR(__xludf.DUMMYFUNCTION("""COMPUTED_VALUE"""),45039.0)</f>
        <v>45039</v>
      </c>
      <c r="J107" s="7">
        <f>IFERROR(__xludf.DUMMYFUNCTION("""COMPUTED_VALUE"""),45056.0)</f>
        <v>45056</v>
      </c>
      <c r="K107" s="5" t="str">
        <f>IFERROR(__xludf.DUMMYFUNCTION("""COMPUTED_VALUE"""),"high-income")</f>
        <v>high-income</v>
      </c>
      <c r="L107" s="5" t="str">
        <f>IFERROR(__xludf.DUMMYFUNCTION("""COMPUTED_VALUE"""),"Malta")</f>
        <v>Malta</v>
      </c>
      <c r="M107" s="5" t="str">
        <f>IFERROR(__xludf.DUMMYFUNCTION("""COMPUTED_VALUE"""),"Europe &amp; Central Asia")</f>
        <v>Europe &amp; Central Asia</v>
      </c>
      <c r="N107" s="5" t="str">
        <f>IFERROR(__xludf.DUMMYFUNCTION("""COMPUTED_VALUE"""),"Western Europe and Others")</f>
        <v>Western Europe and Others</v>
      </c>
      <c r="O107" s="5" t="str">
        <f>IFERROR(__xludf.DUMMYFUNCTION("""COMPUTED_VALUE"""),"developed")</f>
        <v>developed</v>
      </c>
      <c r="P107" s="5"/>
      <c r="Q107" s="5"/>
    </row>
    <row r="108">
      <c r="A108" s="5" t="str">
        <f>IFERROR(__xludf.DUMMYFUNCTION("""COMPUTED_VALUE"""),"Outbound")</f>
        <v>Outbound</v>
      </c>
      <c r="B108" s="5">
        <f>IFERROR(__xludf.DUMMYFUNCTION("""COMPUTED_VALUE"""),913.0)</f>
        <v>913</v>
      </c>
      <c r="C108" s="5" t="str">
        <f>IFERROR(__xludf.DUMMYFUNCTION("""COMPUTED_VALUE"""),"ASL YANGPU")</f>
        <v>ASL YANGPU</v>
      </c>
      <c r="D108" s="5">
        <f>IFERROR(__xludf.DUMMYFUNCTION("""COMPUTED_VALUE"""),9244831.0)</f>
        <v>9244831</v>
      </c>
      <c r="E108" s="5" t="str">
        <f>IFERROR(__xludf.DUMMYFUNCTION("""COMPUTED_VALUE"""),"Chornomorsk")</f>
        <v>Chornomorsk</v>
      </c>
      <c r="F108" s="5" t="str">
        <f>IFERROR(__xludf.DUMMYFUNCTION("""COMPUTED_VALUE"""),"China")</f>
        <v>China</v>
      </c>
      <c r="G108" s="5" t="str">
        <f>IFERROR(__xludf.DUMMYFUNCTION("""COMPUTED_VALUE"""),"Corn")</f>
        <v>Corn</v>
      </c>
      <c r="H108" s="6">
        <f>IFERROR(__xludf.DUMMYFUNCTION("""COMPUTED_VALUE"""),65080.0)</f>
        <v>65080</v>
      </c>
      <c r="I108" s="7">
        <f>IFERROR(__xludf.DUMMYFUNCTION("""COMPUTED_VALUE"""),45039.0)</f>
        <v>45039</v>
      </c>
      <c r="J108" s="7">
        <f>IFERROR(__xludf.DUMMYFUNCTION("""COMPUTED_VALUE"""),45056.0)</f>
        <v>45056</v>
      </c>
      <c r="K108" s="5" t="str">
        <f>IFERROR(__xludf.DUMMYFUNCTION("""COMPUTED_VALUE"""),"upper-middle-income")</f>
        <v>upper-middle-income</v>
      </c>
      <c r="L108" s="5" t="str">
        <f>IFERROR(__xludf.DUMMYFUNCTION("""COMPUTED_VALUE"""),"Marshall Islands")</f>
        <v>Marshall Islands</v>
      </c>
      <c r="M108" s="5" t="str">
        <f>IFERROR(__xludf.DUMMYFUNCTION("""COMPUTED_VALUE"""),"East Asia &amp; Pacific")</f>
        <v>East Asia &amp; Pacific</v>
      </c>
      <c r="N108" s="5" t="str">
        <f>IFERROR(__xludf.DUMMYFUNCTION("""COMPUTED_VALUE"""),"Asia-Pacific")</f>
        <v>Asia-Pacific</v>
      </c>
      <c r="O108" s="5" t="str">
        <f>IFERROR(__xludf.DUMMYFUNCTION("""COMPUTED_VALUE"""),"developing")</f>
        <v>developing</v>
      </c>
      <c r="P108" s="5"/>
      <c r="Q108" s="5"/>
    </row>
    <row r="109">
      <c r="A109" s="5" t="str">
        <f>IFERROR(__xludf.DUMMYFUNCTION("""COMPUTED_VALUE"""),"Outbound")</f>
        <v>Outbound</v>
      </c>
      <c r="B109" s="5">
        <f>IFERROR(__xludf.DUMMYFUNCTION("""COMPUTED_VALUE"""),912.0)</f>
        <v>912</v>
      </c>
      <c r="C109" s="5" t="str">
        <f>IFERROR(__xludf.DUMMYFUNCTION("""COMPUTED_VALUE"""),"KIRAN BOSPHORUS ")</f>
        <v>KIRAN BOSPHORUS </v>
      </c>
      <c r="D109" s="5">
        <f>IFERROR(__xludf.DUMMYFUNCTION("""COMPUTED_VALUE"""),9576997.0)</f>
        <v>9576997</v>
      </c>
      <c r="E109" s="5" t="str">
        <f>IFERROR(__xludf.DUMMYFUNCTION("""COMPUTED_VALUE"""),"Chornomorsk")</f>
        <v>Chornomorsk</v>
      </c>
      <c r="F109" s="5" t="str">
        <f>IFERROR(__xludf.DUMMYFUNCTION("""COMPUTED_VALUE"""),"China")</f>
        <v>China</v>
      </c>
      <c r="G109" s="5" t="str">
        <f>IFERROR(__xludf.DUMMYFUNCTION("""COMPUTED_VALUE"""),"Sunflower meal")</f>
        <v>Sunflower meal</v>
      </c>
      <c r="H109" s="6">
        <f>IFERROR(__xludf.DUMMYFUNCTION("""COMPUTED_VALUE"""),50880.0)</f>
        <v>50880</v>
      </c>
      <c r="I109" s="7">
        <f>IFERROR(__xludf.DUMMYFUNCTION("""COMPUTED_VALUE"""),45038.0)</f>
        <v>45038</v>
      </c>
      <c r="J109" s="7">
        <f>IFERROR(__xludf.DUMMYFUNCTION("""COMPUTED_VALUE"""),45055.0)</f>
        <v>45055</v>
      </c>
      <c r="K109" s="5" t="str">
        <f>IFERROR(__xludf.DUMMYFUNCTION("""COMPUTED_VALUE"""),"upper-middle-income")</f>
        <v>upper-middle-income</v>
      </c>
      <c r="L109" s="5" t="str">
        <f>IFERROR(__xludf.DUMMYFUNCTION("""COMPUTED_VALUE"""),"Malta")</f>
        <v>Malta</v>
      </c>
      <c r="M109" s="5" t="str">
        <f>IFERROR(__xludf.DUMMYFUNCTION("""COMPUTED_VALUE"""),"East Asia &amp; Pacific")</f>
        <v>East Asia &amp; Pacific</v>
      </c>
      <c r="N109" s="5" t="str">
        <f>IFERROR(__xludf.DUMMYFUNCTION("""COMPUTED_VALUE"""),"Asia-Pacific")</f>
        <v>Asia-Pacific</v>
      </c>
      <c r="O109" s="5" t="str">
        <f>IFERROR(__xludf.DUMMYFUNCTION("""COMPUTED_VALUE"""),"developing")</f>
        <v>developing</v>
      </c>
      <c r="P109" s="5"/>
      <c r="Q109" s="5"/>
    </row>
    <row r="110">
      <c r="A110" s="5" t="str">
        <f>IFERROR(__xludf.DUMMYFUNCTION("""COMPUTED_VALUE"""),"Outbound")</f>
        <v>Outbound</v>
      </c>
      <c r="B110" s="5">
        <f>IFERROR(__xludf.DUMMYFUNCTION("""COMPUTED_VALUE"""),911.0)</f>
        <v>911</v>
      </c>
      <c r="C110" s="5" t="str">
        <f>IFERROR(__xludf.DUMMYFUNCTION("""COMPUTED_VALUE"""),"KESTREL S")</f>
        <v>KESTREL S</v>
      </c>
      <c r="D110" s="5">
        <f>IFERROR(__xludf.DUMMYFUNCTION("""COMPUTED_VALUE"""),9489211.0)</f>
        <v>9489211</v>
      </c>
      <c r="E110" s="5" t="str">
        <f>IFERROR(__xludf.DUMMYFUNCTION("""COMPUTED_VALUE"""),"Odesa")</f>
        <v>Odesa</v>
      </c>
      <c r="F110" s="5" t="str">
        <f>IFERROR(__xludf.DUMMYFUNCTION("""COMPUTED_VALUE"""),"Italy")</f>
        <v>Italy</v>
      </c>
      <c r="G110" s="5" t="str">
        <f>IFERROR(__xludf.DUMMYFUNCTION("""COMPUTED_VALUE"""),"Corn")</f>
        <v>Corn</v>
      </c>
      <c r="H110" s="6">
        <f>IFERROR(__xludf.DUMMYFUNCTION("""COMPUTED_VALUE"""),30000.0)</f>
        <v>30000</v>
      </c>
      <c r="I110" s="7">
        <f>IFERROR(__xludf.DUMMYFUNCTION("""COMPUTED_VALUE"""),45038.0)</f>
        <v>45038</v>
      </c>
      <c r="J110" s="7">
        <f>IFERROR(__xludf.DUMMYFUNCTION("""COMPUTED_VALUE"""),45051.0)</f>
        <v>45051</v>
      </c>
      <c r="K110" s="5" t="str">
        <f>IFERROR(__xludf.DUMMYFUNCTION("""COMPUTED_VALUE"""),"high-income")</f>
        <v>high-income</v>
      </c>
      <c r="L110" s="5" t="str">
        <f>IFERROR(__xludf.DUMMYFUNCTION("""COMPUTED_VALUE"""),"Liberia")</f>
        <v>Liberia</v>
      </c>
      <c r="M110" s="5" t="str">
        <f>IFERROR(__xludf.DUMMYFUNCTION("""COMPUTED_VALUE"""),"Europe &amp; Central Asia")</f>
        <v>Europe &amp; Central Asia</v>
      </c>
      <c r="N110" s="5" t="str">
        <f>IFERROR(__xludf.DUMMYFUNCTION("""COMPUTED_VALUE"""),"Western Europe and Others")</f>
        <v>Western Europe and Others</v>
      </c>
      <c r="O110" s="5" t="str">
        <f>IFERROR(__xludf.DUMMYFUNCTION("""COMPUTED_VALUE"""),"developed")</f>
        <v>developed</v>
      </c>
      <c r="P110" s="5"/>
      <c r="Q110" s="5"/>
    </row>
    <row r="111">
      <c r="A111" s="5" t="str">
        <f>IFERROR(__xludf.DUMMYFUNCTION("""COMPUTED_VALUE"""),"Outbound")</f>
        <v>Outbound</v>
      </c>
      <c r="B111" s="5">
        <f>IFERROR(__xludf.DUMMYFUNCTION("""COMPUTED_VALUE"""),910.0)</f>
        <v>910</v>
      </c>
      <c r="C111" s="5" t="str">
        <f>IFERROR(__xludf.DUMMYFUNCTION("""COMPUTED_VALUE"""),"HONORINE")</f>
        <v>HONORINE</v>
      </c>
      <c r="D111" s="5">
        <f>IFERROR(__xludf.DUMMYFUNCTION("""COMPUTED_VALUE"""),9146974.0)</f>
        <v>9146974</v>
      </c>
      <c r="E111" s="5" t="str">
        <f>IFERROR(__xludf.DUMMYFUNCTION("""COMPUTED_VALUE"""),"Yuzhny/Pivdennyi")</f>
        <v>Yuzhny/Pivdennyi</v>
      </c>
      <c r="F111" s="5" t="str">
        <f>IFERROR(__xludf.DUMMYFUNCTION("""COMPUTED_VALUE"""),"Lebanon")</f>
        <v>Lebanon</v>
      </c>
      <c r="G111" s="5" t="str">
        <f>IFERROR(__xludf.DUMMYFUNCTION("""COMPUTED_VALUE"""),"Wheat")</f>
        <v>Wheat</v>
      </c>
      <c r="H111" s="6">
        <f>IFERROR(__xludf.DUMMYFUNCTION("""COMPUTED_VALUE"""),27500.0)</f>
        <v>27500</v>
      </c>
      <c r="I111" s="7">
        <f>IFERROR(__xludf.DUMMYFUNCTION("""COMPUTED_VALUE"""),45038.0)</f>
        <v>45038</v>
      </c>
      <c r="J111" s="7">
        <f>IFERROR(__xludf.DUMMYFUNCTION("""COMPUTED_VALUE"""),45056.0)</f>
        <v>45056</v>
      </c>
      <c r="K111" s="5" t="str">
        <f>IFERROR(__xludf.DUMMYFUNCTION("""COMPUTED_VALUE"""),"lower-middle income")</f>
        <v>lower-middle income</v>
      </c>
      <c r="L111" s="5" t="str">
        <f>IFERROR(__xludf.DUMMYFUNCTION("""COMPUTED_VALUE"""),"Malta")</f>
        <v>Malta</v>
      </c>
      <c r="M111" s="5" t="str">
        <f>IFERROR(__xludf.DUMMYFUNCTION("""COMPUTED_VALUE"""),"Middle East &amp; North Africa")</f>
        <v>Middle East &amp; North Africa</v>
      </c>
      <c r="N111" s="5" t="str">
        <f>IFERROR(__xludf.DUMMYFUNCTION("""COMPUTED_VALUE"""),"Asia-Pacific")</f>
        <v>Asia-Pacific</v>
      </c>
      <c r="O111" s="5" t="str">
        <f>IFERROR(__xludf.DUMMYFUNCTION("""COMPUTED_VALUE"""),"developing")</f>
        <v>developing</v>
      </c>
      <c r="P111" s="5"/>
      <c r="Q111" s="5"/>
    </row>
    <row r="112">
      <c r="A112" s="5" t="str">
        <f>IFERROR(__xludf.DUMMYFUNCTION("""COMPUTED_VALUE"""),"Outbound")</f>
        <v>Outbound</v>
      </c>
      <c r="B112" s="5">
        <f>IFERROR(__xludf.DUMMYFUNCTION("""COMPUTED_VALUE"""),909.0)</f>
        <v>909</v>
      </c>
      <c r="C112" s="5" t="str">
        <f>IFERROR(__xludf.DUMMYFUNCTION("""COMPUTED_VALUE"""),"BOSPHORUS ASIA")</f>
        <v>BOSPHORUS ASIA</v>
      </c>
      <c r="D112" s="5">
        <f>IFERROR(__xludf.DUMMYFUNCTION("""COMPUTED_VALUE"""),9250696.0)</f>
        <v>9250696</v>
      </c>
      <c r="E112" s="5" t="str">
        <f>IFERROR(__xludf.DUMMYFUNCTION("""COMPUTED_VALUE"""),"Chornomorsk")</f>
        <v>Chornomorsk</v>
      </c>
      <c r="F112" s="5" t="str">
        <f>IFERROR(__xludf.DUMMYFUNCTION("""COMPUTED_VALUE"""),"Türkiye")</f>
        <v>Türkiye</v>
      </c>
      <c r="G112" s="5" t="str">
        <f>IFERROR(__xludf.DUMMYFUNCTION("""COMPUTED_VALUE"""),"Wheat")</f>
        <v>Wheat</v>
      </c>
      <c r="H112" s="6">
        <f>IFERROR(__xludf.DUMMYFUNCTION("""COMPUTED_VALUE"""),13200.0)</f>
        <v>13200</v>
      </c>
      <c r="I112" s="7">
        <f>IFERROR(__xludf.DUMMYFUNCTION("""COMPUTED_VALUE"""),45038.0)</f>
        <v>45038</v>
      </c>
      <c r="J112" s="7">
        <f>IFERROR(__xludf.DUMMYFUNCTION("""COMPUTED_VALUE"""),45053.0)</f>
        <v>45053</v>
      </c>
      <c r="K112" s="5" t="str">
        <f>IFERROR(__xludf.DUMMYFUNCTION("""COMPUTED_VALUE"""),"upper-middle-income")</f>
        <v>upper-middle-income</v>
      </c>
      <c r="L112" s="5" t="str">
        <f>IFERROR(__xludf.DUMMYFUNCTION("""COMPUTED_VALUE"""),"Liberia")</f>
        <v>Liberia</v>
      </c>
      <c r="M112" s="5" t="str">
        <f>IFERROR(__xludf.DUMMYFUNCTION("""COMPUTED_VALUE"""),"Europe &amp; Central Asia")</f>
        <v>Europe &amp; Central Asia</v>
      </c>
      <c r="N112" s="5" t="str">
        <f>IFERROR(__xludf.DUMMYFUNCTION("""COMPUTED_VALUE"""),"Asia-Pacific")</f>
        <v>Asia-Pacific</v>
      </c>
      <c r="O112" s="5" t="str">
        <f>IFERROR(__xludf.DUMMYFUNCTION("""COMPUTED_VALUE"""),"developing")</f>
        <v>developing</v>
      </c>
      <c r="P112" s="5"/>
      <c r="Q112" s="5"/>
    </row>
    <row r="113">
      <c r="A113" s="5" t="str">
        <f>IFERROR(__xludf.DUMMYFUNCTION("""COMPUTED_VALUE"""),"Outbound +")</f>
        <v>Outbound +</v>
      </c>
      <c r="B113" s="5">
        <f>IFERROR(__xludf.DUMMYFUNCTION("""COMPUTED_VALUE"""),909.0)</f>
        <v>909</v>
      </c>
      <c r="C113" s="5" t="str">
        <f>IFERROR(__xludf.DUMMYFUNCTION("""COMPUTED_VALUE"""),"BOSPHORUS ASIA")</f>
        <v>BOSPHORUS ASIA</v>
      </c>
      <c r="D113" s="5">
        <f>IFERROR(__xludf.DUMMYFUNCTION("""COMPUTED_VALUE"""),9250696.0)</f>
        <v>9250696</v>
      </c>
      <c r="E113" s="5" t="str">
        <f>IFERROR(__xludf.DUMMYFUNCTION("""COMPUTED_VALUE"""),"Chornomorsk")</f>
        <v>Chornomorsk</v>
      </c>
      <c r="F113" s="5" t="str">
        <f>IFERROR(__xludf.DUMMYFUNCTION("""COMPUTED_VALUE"""),"Türkiye")</f>
        <v>Türkiye</v>
      </c>
      <c r="G113" s="5" t="str">
        <f>IFERROR(__xludf.DUMMYFUNCTION("""COMPUTED_VALUE"""),"Corn")</f>
        <v>Corn</v>
      </c>
      <c r="H113" s="6">
        <f>IFERROR(__xludf.DUMMYFUNCTION("""COMPUTED_VALUE"""),11450.0)</f>
        <v>11450</v>
      </c>
      <c r="I113" s="7">
        <f>IFERROR(__xludf.DUMMYFUNCTION("""COMPUTED_VALUE"""),45038.0)</f>
        <v>45038</v>
      </c>
      <c r="J113" s="7">
        <f>IFERROR(__xludf.DUMMYFUNCTION("""COMPUTED_VALUE"""),45053.0)</f>
        <v>45053</v>
      </c>
      <c r="K113" s="5" t="str">
        <f>IFERROR(__xludf.DUMMYFUNCTION("""COMPUTED_VALUE"""),"upper-middle-income")</f>
        <v>upper-middle-income</v>
      </c>
      <c r="L113" s="5" t="str">
        <f>IFERROR(__xludf.DUMMYFUNCTION("""COMPUTED_VALUE"""),"Liberia")</f>
        <v>Liberia</v>
      </c>
      <c r="M113" s="5" t="str">
        <f>IFERROR(__xludf.DUMMYFUNCTION("""COMPUTED_VALUE"""),"Europe &amp; Central Asia")</f>
        <v>Europe &amp; Central Asia</v>
      </c>
      <c r="N113" s="5" t="str">
        <f>IFERROR(__xludf.DUMMYFUNCTION("""COMPUTED_VALUE"""),"Asia-Pacific")</f>
        <v>Asia-Pacific</v>
      </c>
      <c r="O113" s="5" t="str">
        <f>IFERROR(__xludf.DUMMYFUNCTION("""COMPUTED_VALUE"""),"developing")</f>
        <v>developing</v>
      </c>
      <c r="P113" s="5"/>
      <c r="Q113" s="5"/>
    </row>
    <row r="114">
      <c r="A114" s="5" t="str">
        <f>IFERROR(__xludf.DUMMYFUNCTION("""COMPUTED_VALUE"""),"Outbound +")</f>
        <v>Outbound +</v>
      </c>
      <c r="B114" s="5">
        <f>IFERROR(__xludf.DUMMYFUNCTION("""COMPUTED_VALUE"""),909.0)</f>
        <v>909</v>
      </c>
      <c r="C114" s="5" t="str">
        <f>IFERROR(__xludf.DUMMYFUNCTION("""COMPUTED_VALUE"""),"BOSPHORUS ASIA")</f>
        <v>BOSPHORUS ASIA</v>
      </c>
      <c r="D114" s="5">
        <f>IFERROR(__xludf.DUMMYFUNCTION("""COMPUTED_VALUE"""),9250696.0)</f>
        <v>9250696</v>
      </c>
      <c r="E114" s="5" t="str">
        <f>IFERROR(__xludf.DUMMYFUNCTION("""COMPUTED_VALUE"""),"Chornomorsk")</f>
        <v>Chornomorsk</v>
      </c>
      <c r="F114" s="5" t="str">
        <f>IFERROR(__xludf.DUMMYFUNCTION("""COMPUTED_VALUE"""),"Türkiye")</f>
        <v>Türkiye</v>
      </c>
      <c r="G114" s="5" t="str">
        <f>IFERROR(__xludf.DUMMYFUNCTION("""COMPUTED_VALUE"""),"Barley")</f>
        <v>Barley</v>
      </c>
      <c r="H114" s="6">
        <f>IFERROR(__xludf.DUMMYFUNCTION("""COMPUTED_VALUE"""),5950.0)</f>
        <v>5950</v>
      </c>
      <c r="I114" s="7">
        <f>IFERROR(__xludf.DUMMYFUNCTION("""COMPUTED_VALUE"""),45038.0)</f>
        <v>45038</v>
      </c>
      <c r="J114" s="7">
        <f>IFERROR(__xludf.DUMMYFUNCTION("""COMPUTED_VALUE"""),45053.0)</f>
        <v>45053</v>
      </c>
      <c r="K114" s="5" t="str">
        <f>IFERROR(__xludf.DUMMYFUNCTION("""COMPUTED_VALUE"""),"upper-middle-income")</f>
        <v>upper-middle-income</v>
      </c>
      <c r="L114" s="5" t="str">
        <f>IFERROR(__xludf.DUMMYFUNCTION("""COMPUTED_VALUE"""),"Liberia")</f>
        <v>Liberia</v>
      </c>
      <c r="M114" s="5" t="str">
        <f>IFERROR(__xludf.DUMMYFUNCTION("""COMPUTED_VALUE"""),"Europe &amp; Central Asia")</f>
        <v>Europe &amp; Central Asia</v>
      </c>
      <c r="N114" s="5" t="str">
        <f>IFERROR(__xludf.DUMMYFUNCTION("""COMPUTED_VALUE"""),"Asia-Pacific")</f>
        <v>Asia-Pacific</v>
      </c>
      <c r="O114" s="5" t="str">
        <f>IFERROR(__xludf.DUMMYFUNCTION("""COMPUTED_VALUE"""),"developing")</f>
        <v>developing</v>
      </c>
      <c r="P114" s="5"/>
      <c r="Q114" s="5"/>
    </row>
    <row r="115">
      <c r="A115" s="5" t="str">
        <f>IFERROR(__xludf.DUMMYFUNCTION("""COMPUTED_VALUE"""),"Outbound")</f>
        <v>Outbound</v>
      </c>
      <c r="B115" s="5">
        <f>IFERROR(__xludf.DUMMYFUNCTION("""COMPUTED_VALUE"""),908.0)</f>
        <v>908</v>
      </c>
      <c r="C115" s="5" t="str">
        <f>IFERROR(__xludf.DUMMYFUNCTION("""COMPUTED_VALUE"""),"CPT GEORGIOS S")</f>
        <v>CPT GEORGIOS S</v>
      </c>
      <c r="D115" s="5">
        <f>IFERROR(__xludf.DUMMYFUNCTION("""COMPUTED_VALUE"""),9262936.0)</f>
        <v>9262936</v>
      </c>
      <c r="E115" s="5" t="str">
        <f>IFERROR(__xludf.DUMMYFUNCTION("""COMPUTED_VALUE"""),"Chornomorsk")</f>
        <v>Chornomorsk</v>
      </c>
      <c r="F115" s="5" t="str">
        <f>IFERROR(__xludf.DUMMYFUNCTION("""COMPUTED_VALUE"""),"Germany")</f>
        <v>Germany</v>
      </c>
      <c r="G115" s="5" t="str">
        <f>IFERROR(__xludf.DUMMYFUNCTION("""COMPUTED_VALUE"""),"Corn")</f>
        <v>Corn</v>
      </c>
      <c r="H115" s="6">
        <f>IFERROR(__xludf.DUMMYFUNCTION("""COMPUTED_VALUE"""),58134.0)</f>
        <v>58134</v>
      </c>
      <c r="I115" s="7">
        <f>IFERROR(__xludf.DUMMYFUNCTION("""COMPUTED_VALUE"""),45037.0)</f>
        <v>45037</v>
      </c>
      <c r="J115" s="7">
        <f>IFERROR(__xludf.DUMMYFUNCTION("""COMPUTED_VALUE"""),45052.0)</f>
        <v>45052</v>
      </c>
      <c r="K115" s="5" t="str">
        <f>IFERROR(__xludf.DUMMYFUNCTION("""COMPUTED_VALUE"""),"high-income")</f>
        <v>high-income</v>
      </c>
      <c r="L115" s="5" t="str">
        <f>IFERROR(__xludf.DUMMYFUNCTION("""COMPUTED_VALUE"""),"Liberia")</f>
        <v>Liberia</v>
      </c>
      <c r="M115" s="5" t="str">
        <f>IFERROR(__xludf.DUMMYFUNCTION("""COMPUTED_VALUE"""),"Europe &amp; Central Asia")</f>
        <v>Europe &amp; Central Asia</v>
      </c>
      <c r="N115" s="5" t="str">
        <f>IFERROR(__xludf.DUMMYFUNCTION("""COMPUTED_VALUE"""),"Western Europe and Others")</f>
        <v>Western Europe and Others</v>
      </c>
      <c r="O115" s="5" t="str">
        <f>IFERROR(__xludf.DUMMYFUNCTION("""COMPUTED_VALUE"""),"developed")</f>
        <v>developed</v>
      </c>
      <c r="P115" s="5"/>
      <c r="Q115" s="5"/>
    </row>
    <row r="116">
      <c r="A116" s="5" t="str">
        <f>IFERROR(__xludf.DUMMYFUNCTION("""COMPUTED_VALUE"""),"Outbound")</f>
        <v>Outbound</v>
      </c>
      <c r="B116" s="5">
        <f>IFERROR(__xludf.DUMMYFUNCTION("""COMPUTED_VALUE"""),907.0)</f>
        <v>907</v>
      </c>
      <c r="C116" s="5" t="str">
        <f>IFERROR(__xludf.DUMMYFUNCTION("""COMPUTED_VALUE"""),"ARGO I ")</f>
        <v>ARGO I </v>
      </c>
      <c r="D116" s="5">
        <f>IFERROR(__xludf.DUMMYFUNCTION("""COMPUTED_VALUE"""),9583897.0)</f>
        <v>9583897</v>
      </c>
      <c r="E116" s="5" t="str">
        <f>IFERROR(__xludf.DUMMYFUNCTION("""COMPUTED_VALUE"""),"Odesa")</f>
        <v>Odesa</v>
      </c>
      <c r="F116" s="5" t="str">
        <f>IFERROR(__xludf.DUMMYFUNCTION("""COMPUTED_VALUE"""),"Spain")</f>
        <v>Spain</v>
      </c>
      <c r="G116" s="5" t="str">
        <f>IFERROR(__xludf.DUMMYFUNCTION("""COMPUTED_VALUE"""),"Corn")</f>
        <v>Corn</v>
      </c>
      <c r="H116" s="6">
        <f>IFERROR(__xludf.DUMMYFUNCTION("""COMPUTED_VALUE"""),17572.0)</f>
        <v>17572</v>
      </c>
      <c r="I116" s="7">
        <f>IFERROR(__xludf.DUMMYFUNCTION("""COMPUTED_VALUE"""),45037.0)</f>
        <v>45037</v>
      </c>
      <c r="J116" s="7">
        <f>IFERROR(__xludf.DUMMYFUNCTION("""COMPUTED_VALUE"""),45055.0)</f>
        <v>45055</v>
      </c>
      <c r="K116" s="5" t="str">
        <f>IFERROR(__xludf.DUMMYFUNCTION("""COMPUTED_VALUE"""),"high-income")</f>
        <v>high-income</v>
      </c>
      <c r="L116" s="5" t="str">
        <f>IFERROR(__xludf.DUMMYFUNCTION("""COMPUTED_VALUE"""),"Panama")</f>
        <v>Panama</v>
      </c>
      <c r="M116" s="5" t="str">
        <f>IFERROR(__xludf.DUMMYFUNCTION("""COMPUTED_VALUE"""),"Europe &amp; Central Asia")</f>
        <v>Europe &amp; Central Asia</v>
      </c>
      <c r="N116" s="5" t="str">
        <f>IFERROR(__xludf.DUMMYFUNCTION("""COMPUTED_VALUE"""),"Western Europe and Others")</f>
        <v>Western Europe and Others</v>
      </c>
      <c r="O116" s="5" t="str">
        <f>IFERROR(__xludf.DUMMYFUNCTION("""COMPUTED_VALUE"""),"developed")</f>
        <v>developed</v>
      </c>
      <c r="P116" s="5"/>
      <c r="Q116" s="5"/>
    </row>
    <row r="117">
      <c r="A117" s="5" t="str">
        <f>IFERROR(__xludf.DUMMYFUNCTION("""COMPUTED_VALUE"""),"Outbound +")</f>
        <v>Outbound +</v>
      </c>
      <c r="B117" s="5">
        <f>IFERROR(__xludf.DUMMYFUNCTION("""COMPUTED_VALUE"""),907.0)</f>
        <v>907</v>
      </c>
      <c r="C117" s="5" t="str">
        <f>IFERROR(__xludf.DUMMYFUNCTION("""COMPUTED_VALUE"""),"ARGO I ")</f>
        <v>ARGO I </v>
      </c>
      <c r="D117" s="5">
        <f>IFERROR(__xludf.DUMMYFUNCTION("""COMPUTED_VALUE"""),9583897.0)</f>
        <v>9583897</v>
      </c>
      <c r="E117" s="5" t="str">
        <f>IFERROR(__xludf.DUMMYFUNCTION("""COMPUTED_VALUE"""),"Odesa")</f>
        <v>Odesa</v>
      </c>
      <c r="F117" s="5" t="str">
        <f>IFERROR(__xludf.DUMMYFUNCTION("""COMPUTED_VALUE"""),"Spain")</f>
        <v>Spain</v>
      </c>
      <c r="G117" s="5" t="str">
        <f>IFERROR(__xludf.DUMMYFUNCTION("""COMPUTED_VALUE"""),"Wheat")</f>
        <v>Wheat</v>
      </c>
      <c r="H117" s="6">
        <f>IFERROR(__xludf.DUMMYFUNCTION("""COMPUTED_VALUE"""),13972.0)</f>
        <v>13972</v>
      </c>
      <c r="I117" s="7">
        <f>IFERROR(__xludf.DUMMYFUNCTION("""COMPUTED_VALUE"""),45037.0)</f>
        <v>45037</v>
      </c>
      <c r="J117" s="7">
        <f>IFERROR(__xludf.DUMMYFUNCTION("""COMPUTED_VALUE"""),45055.0)</f>
        <v>45055</v>
      </c>
      <c r="K117" s="5" t="str">
        <f>IFERROR(__xludf.DUMMYFUNCTION("""COMPUTED_VALUE"""),"high-income")</f>
        <v>high-income</v>
      </c>
      <c r="L117" s="5" t="str">
        <f>IFERROR(__xludf.DUMMYFUNCTION("""COMPUTED_VALUE"""),"Panama")</f>
        <v>Panama</v>
      </c>
      <c r="M117" s="5" t="str">
        <f>IFERROR(__xludf.DUMMYFUNCTION("""COMPUTED_VALUE"""),"Europe &amp; Central Asia")</f>
        <v>Europe &amp; Central Asia</v>
      </c>
      <c r="N117" s="5" t="str">
        <f>IFERROR(__xludf.DUMMYFUNCTION("""COMPUTED_VALUE"""),"Western Europe and Others")</f>
        <v>Western Europe and Others</v>
      </c>
      <c r="O117" s="5" t="str">
        <f>IFERROR(__xludf.DUMMYFUNCTION("""COMPUTED_VALUE"""),"developed")</f>
        <v>developed</v>
      </c>
      <c r="P117" s="5"/>
      <c r="Q117" s="5"/>
    </row>
    <row r="118">
      <c r="A118" s="5" t="str">
        <f>IFERROR(__xludf.DUMMYFUNCTION("""COMPUTED_VALUE"""),"Outbound")</f>
        <v>Outbound</v>
      </c>
      <c r="B118" s="5">
        <f>IFERROR(__xludf.DUMMYFUNCTION("""COMPUTED_VALUE"""),906.0)</f>
        <v>906</v>
      </c>
      <c r="C118" s="5" t="str">
        <f>IFERROR(__xludf.DUMMYFUNCTION("""COMPUTED_VALUE"""),"SUPER BERGKAMP")</f>
        <v>SUPER BERGKAMP</v>
      </c>
      <c r="D118" s="5">
        <f>IFERROR(__xludf.DUMMYFUNCTION("""COMPUTED_VALUE"""),9409077.0)</f>
        <v>9409077</v>
      </c>
      <c r="E118" s="5" t="str">
        <f>IFERROR(__xludf.DUMMYFUNCTION("""COMPUTED_VALUE"""),"Yuzhny/Pivdennyi")</f>
        <v>Yuzhny/Pivdennyi</v>
      </c>
      <c r="F118" s="5" t="str">
        <f>IFERROR(__xludf.DUMMYFUNCTION("""COMPUTED_VALUE"""),"China")</f>
        <v>China</v>
      </c>
      <c r="G118" s="5" t="str">
        <f>IFERROR(__xludf.DUMMYFUNCTION("""COMPUTED_VALUE"""),"Corn")</f>
        <v>Corn</v>
      </c>
      <c r="H118" s="6">
        <f>IFERROR(__xludf.DUMMYFUNCTION("""COMPUTED_VALUE"""),52000.0)</f>
        <v>52000</v>
      </c>
      <c r="I118" s="7">
        <f>IFERROR(__xludf.DUMMYFUNCTION("""COMPUTED_VALUE"""),45035.0)</f>
        <v>45035</v>
      </c>
      <c r="J118" s="7">
        <f>IFERROR(__xludf.DUMMYFUNCTION("""COMPUTED_VALUE"""),45049.0)</f>
        <v>45049</v>
      </c>
      <c r="K118" s="5" t="str">
        <f>IFERROR(__xludf.DUMMYFUNCTION("""COMPUTED_VALUE"""),"upper-middle-income")</f>
        <v>upper-middle-income</v>
      </c>
      <c r="L118" s="5" t="str">
        <f>IFERROR(__xludf.DUMMYFUNCTION("""COMPUTED_VALUE"""),"Barbados")</f>
        <v>Barbados</v>
      </c>
      <c r="M118" s="5" t="str">
        <f>IFERROR(__xludf.DUMMYFUNCTION("""COMPUTED_VALUE"""),"East Asia &amp; Pacific")</f>
        <v>East Asia &amp; Pacific</v>
      </c>
      <c r="N118" s="5" t="str">
        <f>IFERROR(__xludf.DUMMYFUNCTION("""COMPUTED_VALUE"""),"Asia-Pacific")</f>
        <v>Asia-Pacific</v>
      </c>
      <c r="O118" s="5" t="str">
        <f>IFERROR(__xludf.DUMMYFUNCTION("""COMPUTED_VALUE"""),"developing")</f>
        <v>developing</v>
      </c>
      <c r="P118" s="5"/>
      <c r="Q118" s="5"/>
    </row>
    <row r="119">
      <c r="A119" s="5" t="str">
        <f>IFERROR(__xludf.DUMMYFUNCTION("""COMPUTED_VALUE"""),"Outbound")</f>
        <v>Outbound</v>
      </c>
      <c r="B119" s="5">
        <f>IFERROR(__xludf.DUMMYFUNCTION("""COMPUTED_VALUE"""),905.0)</f>
        <v>905</v>
      </c>
      <c r="C119" s="5" t="str">
        <f>IFERROR(__xludf.DUMMYFUNCTION("""COMPUTED_VALUE"""),"AK HALIMA")</f>
        <v>AK HALIMA</v>
      </c>
      <c r="D119" s="5">
        <f>IFERROR(__xludf.DUMMYFUNCTION("""COMPUTED_VALUE"""),9217826.0)</f>
        <v>9217826</v>
      </c>
      <c r="E119" s="5" t="str">
        <f>IFERROR(__xludf.DUMMYFUNCTION("""COMPUTED_VALUE"""),"Chornomorsk")</f>
        <v>Chornomorsk</v>
      </c>
      <c r="F119" s="5" t="str">
        <f>IFERROR(__xludf.DUMMYFUNCTION("""COMPUTED_VALUE"""),"Italy")</f>
        <v>Italy</v>
      </c>
      <c r="G119" s="5" t="str">
        <f>IFERROR(__xludf.DUMMYFUNCTION("""COMPUTED_VALUE"""),"Wheat")</f>
        <v>Wheat</v>
      </c>
      <c r="H119" s="6">
        <f>IFERROR(__xludf.DUMMYFUNCTION("""COMPUTED_VALUE"""),24006.0)</f>
        <v>24006</v>
      </c>
      <c r="I119" s="7">
        <f>IFERROR(__xludf.DUMMYFUNCTION("""COMPUTED_VALUE"""),45035.0)</f>
        <v>45035</v>
      </c>
      <c r="J119" s="7">
        <f>IFERROR(__xludf.DUMMYFUNCTION("""COMPUTED_VALUE"""),45052.0)</f>
        <v>45052</v>
      </c>
      <c r="K119" s="5" t="str">
        <f>IFERROR(__xludf.DUMMYFUNCTION("""COMPUTED_VALUE"""),"high-income")</f>
        <v>high-income</v>
      </c>
      <c r="L119" s="5" t="str">
        <f>IFERROR(__xludf.DUMMYFUNCTION("""COMPUTED_VALUE"""),"Barbados")</f>
        <v>Barbados</v>
      </c>
      <c r="M119" s="5" t="str">
        <f>IFERROR(__xludf.DUMMYFUNCTION("""COMPUTED_VALUE"""),"Europe &amp; Central Asia")</f>
        <v>Europe &amp; Central Asia</v>
      </c>
      <c r="N119" s="5" t="str">
        <f>IFERROR(__xludf.DUMMYFUNCTION("""COMPUTED_VALUE"""),"Western Europe and Others")</f>
        <v>Western Europe and Others</v>
      </c>
      <c r="O119" s="5" t="str">
        <f>IFERROR(__xludf.DUMMYFUNCTION("""COMPUTED_VALUE"""),"developed")</f>
        <v>developed</v>
      </c>
      <c r="P119" s="5"/>
      <c r="Q119" s="5"/>
    </row>
    <row r="120">
      <c r="A120" s="5" t="str">
        <f>IFERROR(__xludf.DUMMYFUNCTION("""COMPUTED_VALUE"""),"Outbound")</f>
        <v>Outbound</v>
      </c>
      <c r="B120" s="5">
        <f>IFERROR(__xludf.DUMMYFUNCTION("""COMPUTED_VALUE"""),904.0)</f>
        <v>904</v>
      </c>
      <c r="C120" s="5" t="str">
        <f>IFERROR(__xludf.DUMMYFUNCTION("""COMPUTED_VALUE"""),"IKARIA ANGEL")</f>
        <v>IKARIA ANGEL</v>
      </c>
      <c r="D120" s="5">
        <f>IFERROR(__xludf.DUMMYFUNCTION("""COMPUTED_VALUE"""),9194397.0)</f>
        <v>9194397</v>
      </c>
      <c r="E120" s="5" t="str">
        <f>IFERROR(__xludf.DUMMYFUNCTION("""COMPUTED_VALUE"""),"Odesa")</f>
        <v>Odesa</v>
      </c>
      <c r="F120" s="5" t="str">
        <f>IFERROR(__xludf.DUMMYFUNCTION("""COMPUTED_VALUE"""),"Tunisia")</f>
        <v>Tunisia</v>
      </c>
      <c r="G120" s="5" t="str">
        <f>IFERROR(__xludf.DUMMYFUNCTION("""COMPUTED_VALUE"""),"Corn")</f>
        <v>Corn</v>
      </c>
      <c r="H120" s="6">
        <f>IFERROR(__xludf.DUMMYFUNCTION("""COMPUTED_VALUE"""),37300.0)</f>
        <v>37300</v>
      </c>
      <c r="I120" s="7">
        <f>IFERROR(__xludf.DUMMYFUNCTION("""COMPUTED_VALUE"""),45034.0)</f>
        <v>45034</v>
      </c>
      <c r="J120" s="7">
        <f>IFERROR(__xludf.DUMMYFUNCTION("""COMPUTED_VALUE"""),45049.0)</f>
        <v>45049</v>
      </c>
      <c r="K120" s="5" t="str">
        <f>IFERROR(__xludf.DUMMYFUNCTION("""COMPUTED_VALUE"""),"lower-middle income")</f>
        <v>lower-middle income</v>
      </c>
      <c r="L120" s="5" t="str">
        <f>IFERROR(__xludf.DUMMYFUNCTION("""COMPUTED_VALUE"""),"Panama")</f>
        <v>Panama</v>
      </c>
      <c r="M120" s="5" t="str">
        <f>IFERROR(__xludf.DUMMYFUNCTION("""COMPUTED_VALUE"""),"Middle East &amp; North Africa")</f>
        <v>Middle East &amp; North Africa</v>
      </c>
      <c r="N120" s="5" t="str">
        <f>IFERROR(__xludf.DUMMYFUNCTION("""COMPUTED_VALUE"""),"Africa")</f>
        <v>Africa</v>
      </c>
      <c r="O120" s="5" t="str">
        <f>IFERROR(__xludf.DUMMYFUNCTION("""COMPUTED_VALUE"""),"developing")</f>
        <v>developing</v>
      </c>
      <c r="P120" s="5"/>
      <c r="Q120" s="5"/>
    </row>
    <row r="121">
      <c r="A121" s="5" t="str">
        <f>IFERROR(__xludf.DUMMYFUNCTION("""COMPUTED_VALUE"""),"Outbound")</f>
        <v>Outbound</v>
      </c>
      <c r="B121" s="5">
        <f>IFERROR(__xludf.DUMMYFUNCTION("""COMPUTED_VALUE"""),903.0)</f>
        <v>903</v>
      </c>
      <c r="C121" s="5" t="str">
        <f>IFERROR(__xludf.DUMMYFUNCTION("""COMPUTED_VALUE"""),"GLORIA G")</f>
        <v>GLORIA G</v>
      </c>
      <c r="D121" s="5">
        <f>IFERROR(__xludf.DUMMYFUNCTION("""COMPUTED_VALUE"""),9305099.0)</f>
        <v>9305099</v>
      </c>
      <c r="E121" s="5" t="str">
        <f>IFERROR(__xludf.DUMMYFUNCTION("""COMPUTED_VALUE"""),"Yuzhny/Pivdennyi")</f>
        <v>Yuzhny/Pivdennyi</v>
      </c>
      <c r="F121" s="5" t="str">
        <f>IFERROR(__xludf.DUMMYFUNCTION("""COMPUTED_VALUE"""),"Spain")</f>
        <v>Spain</v>
      </c>
      <c r="G121" s="5" t="str">
        <f>IFERROR(__xludf.DUMMYFUNCTION("""COMPUTED_VALUE"""),"Corn")</f>
        <v>Corn</v>
      </c>
      <c r="H121" s="6">
        <f>IFERROR(__xludf.DUMMYFUNCTION("""COMPUTED_VALUE"""),57000.0)</f>
        <v>57000</v>
      </c>
      <c r="I121" s="7">
        <f>IFERROR(__xludf.DUMMYFUNCTION("""COMPUTED_VALUE"""),45034.0)</f>
        <v>45034</v>
      </c>
      <c r="J121" s="7">
        <f>IFERROR(__xludf.DUMMYFUNCTION("""COMPUTED_VALUE"""),45049.0)</f>
        <v>45049</v>
      </c>
      <c r="K121" s="5" t="str">
        <f>IFERROR(__xludf.DUMMYFUNCTION("""COMPUTED_VALUE"""),"high-income")</f>
        <v>high-income</v>
      </c>
      <c r="L121" s="5" t="str">
        <f>IFERROR(__xludf.DUMMYFUNCTION("""COMPUTED_VALUE"""),"Liberia")</f>
        <v>Liberia</v>
      </c>
      <c r="M121" s="5" t="str">
        <f>IFERROR(__xludf.DUMMYFUNCTION("""COMPUTED_VALUE"""),"Europe &amp; Central Asia")</f>
        <v>Europe &amp; Central Asia</v>
      </c>
      <c r="N121" s="5" t="str">
        <f>IFERROR(__xludf.DUMMYFUNCTION("""COMPUTED_VALUE"""),"Western Europe and Others")</f>
        <v>Western Europe and Others</v>
      </c>
      <c r="O121" s="5" t="str">
        <f>IFERROR(__xludf.DUMMYFUNCTION("""COMPUTED_VALUE"""),"developed")</f>
        <v>developed</v>
      </c>
      <c r="P121" s="5"/>
      <c r="Q121" s="5"/>
    </row>
    <row r="122">
      <c r="A122" s="5" t="str">
        <f>IFERROR(__xludf.DUMMYFUNCTION("""COMPUTED_VALUE"""),"Outbound")</f>
        <v>Outbound</v>
      </c>
      <c r="B122" s="5">
        <f>IFERROR(__xludf.DUMMYFUNCTION("""COMPUTED_VALUE"""),902.0)</f>
        <v>902</v>
      </c>
      <c r="C122" s="5" t="str">
        <f>IFERROR(__xludf.DUMMYFUNCTION("""COMPUTED_VALUE"""),"ELLINA")</f>
        <v>ELLINA</v>
      </c>
      <c r="D122" s="5">
        <f>IFERROR(__xludf.DUMMYFUNCTION("""COMPUTED_VALUE"""),9398668.0)</f>
        <v>9398668</v>
      </c>
      <c r="E122" s="5" t="str">
        <f>IFERROR(__xludf.DUMMYFUNCTION("""COMPUTED_VALUE"""),"Yuzhny/Pivdennyi")</f>
        <v>Yuzhny/Pivdennyi</v>
      </c>
      <c r="F122" s="5" t="str">
        <f>IFERROR(__xludf.DUMMYFUNCTION("""COMPUTED_VALUE"""),"China")</f>
        <v>China</v>
      </c>
      <c r="G122" s="5" t="str">
        <f>IFERROR(__xludf.DUMMYFUNCTION("""COMPUTED_VALUE"""),"Corn")</f>
        <v>Corn</v>
      </c>
      <c r="H122" s="6">
        <f>IFERROR(__xludf.DUMMYFUNCTION("""COMPUTED_VALUE"""),70448.0)</f>
        <v>70448</v>
      </c>
      <c r="I122" s="7">
        <f>IFERROR(__xludf.DUMMYFUNCTION("""COMPUTED_VALUE"""),45034.0)</f>
        <v>45034</v>
      </c>
      <c r="J122" s="7">
        <f>IFERROR(__xludf.DUMMYFUNCTION("""COMPUTED_VALUE"""),45048.0)</f>
        <v>45048</v>
      </c>
      <c r="K122" s="5" t="str">
        <f>IFERROR(__xludf.DUMMYFUNCTION("""COMPUTED_VALUE"""),"upper-middle-income")</f>
        <v>upper-middle-income</v>
      </c>
      <c r="L122" s="5" t="str">
        <f>IFERROR(__xludf.DUMMYFUNCTION("""COMPUTED_VALUE"""),"Malta")</f>
        <v>Malta</v>
      </c>
      <c r="M122" s="5" t="str">
        <f>IFERROR(__xludf.DUMMYFUNCTION("""COMPUTED_VALUE"""),"East Asia &amp; Pacific")</f>
        <v>East Asia &amp; Pacific</v>
      </c>
      <c r="N122" s="5" t="str">
        <f>IFERROR(__xludf.DUMMYFUNCTION("""COMPUTED_VALUE"""),"Asia-Pacific")</f>
        <v>Asia-Pacific</v>
      </c>
      <c r="O122" s="5" t="str">
        <f>IFERROR(__xludf.DUMMYFUNCTION("""COMPUTED_VALUE"""),"developing")</f>
        <v>developing</v>
      </c>
      <c r="P122" s="5"/>
      <c r="Q122" s="5"/>
    </row>
    <row r="123">
      <c r="A123" s="5" t="str">
        <f>IFERROR(__xludf.DUMMYFUNCTION("""COMPUTED_VALUE"""),"Outbound")</f>
        <v>Outbound</v>
      </c>
      <c r="B123" s="5">
        <f>IFERROR(__xludf.DUMMYFUNCTION("""COMPUTED_VALUE"""),901.0)</f>
        <v>901</v>
      </c>
      <c r="C123" s="5" t="str">
        <f>IFERROR(__xludf.DUMMYFUNCTION("""COMPUTED_VALUE"""),"LUCENT")</f>
        <v>LUCENT</v>
      </c>
      <c r="D123" s="5">
        <f>IFERROR(__xludf.DUMMYFUNCTION("""COMPUTED_VALUE"""),9142215.0)</f>
        <v>9142215</v>
      </c>
      <c r="E123" s="5" t="str">
        <f>IFERROR(__xludf.DUMMYFUNCTION("""COMPUTED_VALUE"""),"Odesa")</f>
        <v>Odesa</v>
      </c>
      <c r="F123" s="5" t="str">
        <f>IFERROR(__xludf.DUMMYFUNCTION("""COMPUTED_VALUE"""),"Spain")</f>
        <v>Spain</v>
      </c>
      <c r="G123" s="5" t="str">
        <f>IFERROR(__xludf.DUMMYFUNCTION("""COMPUTED_VALUE"""),"Corn")</f>
        <v>Corn</v>
      </c>
      <c r="H123" s="6">
        <f>IFERROR(__xludf.DUMMYFUNCTION("""COMPUTED_VALUE"""),43000.0)</f>
        <v>43000</v>
      </c>
      <c r="I123" s="7">
        <f>IFERROR(__xludf.DUMMYFUNCTION("""COMPUTED_VALUE"""),45033.0)</f>
        <v>45033</v>
      </c>
      <c r="J123" s="7">
        <f>IFERROR(__xludf.DUMMYFUNCTION("""COMPUTED_VALUE"""),45047.0)</f>
        <v>45047</v>
      </c>
      <c r="K123" s="5" t="str">
        <f>IFERROR(__xludf.DUMMYFUNCTION("""COMPUTED_VALUE"""),"high-income")</f>
        <v>high-income</v>
      </c>
      <c r="L123" s="5" t="str">
        <f>IFERROR(__xludf.DUMMYFUNCTION("""COMPUTED_VALUE"""),"Panama")</f>
        <v>Panama</v>
      </c>
      <c r="M123" s="5" t="str">
        <f>IFERROR(__xludf.DUMMYFUNCTION("""COMPUTED_VALUE"""),"Europe &amp; Central Asia")</f>
        <v>Europe &amp; Central Asia</v>
      </c>
      <c r="N123" s="5" t="str">
        <f>IFERROR(__xludf.DUMMYFUNCTION("""COMPUTED_VALUE"""),"Western Europe and Others")</f>
        <v>Western Europe and Others</v>
      </c>
      <c r="O123" s="5" t="str">
        <f>IFERROR(__xludf.DUMMYFUNCTION("""COMPUTED_VALUE"""),"developed")</f>
        <v>developed</v>
      </c>
      <c r="P123" s="5"/>
      <c r="Q123" s="5"/>
    </row>
    <row r="124">
      <c r="A124" s="5" t="str">
        <f>IFERROR(__xludf.DUMMYFUNCTION("""COMPUTED_VALUE"""),"Outbound")</f>
        <v>Outbound</v>
      </c>
      <c r="B124" s="5">
        <f>IFERROR(__xludf.DUMMYFUNCTION("""COMPUTED_VALUE"""),900.0)</f>
        <v>900</v>
      </c>
      <c r="C124" s="5" t="str">
        <f>IFERROR(__xludf.DUMMYFUNCTION("""COMPUTED_VALUE"""),"GLORIOUS SEA (WFP)")</f>
        <v>GLORIOUS SEA (WFP)</v>
      </c>
      <c r="D124" s="5">
        <f>IFERROR(__xludf.DUMMYFUNCTION("""COMPUTED_VALUE"""),9370977.0)</f>
        <v>9370977</v>
      </c>
      <c r="E124" s="5" t="str">
        <f>IFERROR(__xludf.DUMMYFUNCTION("""COMPUTED_VALUE"""),"Chornomorsk")</f>
        <v>Chornomorsk</v>
      </c>
      <c r="F124" s="5" t="str">
        <f>IFERROR(__xludf.DUMMYFUNCTION("""COMPUTED_VALUE"""),"Yemen")</f>
        <v>Yemen</v>
      </c>
      <c r="G124" s="5" t="str">
        <f>IFERROR(__xludf.DUMMYFUNCTION("""COMPUTED_VALUE"""),"Wheat")</f>
        <v>Wheat</v>
      </c>
      <c r="H124" s="6">
        <f>IFERROR(__xludf.DUMMYFUNCTION("""COMPUTED_VALUE"""),24000.0)</f>
        <v>24000</v>
      </c>
      <c r="I124" s="7">
        <f>IFERROR(__xludf.DUMMYFUNCTION("""COMPUTED_VALUE"""),45033.0)</f>
        <v>45033</v>
      </c>
      <c r="J124" s="7">
        <f>IFERROR(__xludf.DUMMYFUNCTION("""COMPUTED_VALUE"""),45041.0)</f>
        <v>45041</v>
      </c>
      <c r="K124" s="5" t="str">
        <f>IFERROR(__xludf.DUMMYFUNCTION("""COMPUTED_VALUE"""),"low-income")</f>
        <v>low-income</v>
      </c>
      <c r="L124" s="5" t="str">
        <f>IFERROR(__xludf.DUMMYFUNCTION("""COMPUTED_VALUE"""),"Barbados")</f>
        <v>Barbados</v>
      </c>
      <c r="M124" s="5" t="str">
        <f>IFERROR(__xludf.DUMMYFUNCTION("""COMPUTED_VALUE"""),"Middle East &amp; North Africa")</f>
        <v>Middle East &amp; North Africa</v>
      </c>
      <c r="N124" s="5" t="str">
        <f>IFERROR(__xludf.DUMMYFUNCTION("""COMPUTED_VALUE"""),"Asia-Pacific")</f>
        <v>Asia-Pacific</v>
      </c>
      <c r="O124" s="5" t="str">
        <f>IFERROR(__xludf.DUMMYFUNCTION("""COMPUTED_VALUE"""),"developing")</f>
        <v>developing</v>
      </c>
      <c r="P124" s="5" t="str">
        <f>IFERROR(__xludf.DUMMYFUNCTION("""COMPUTED_VALUE"""),"WFP")</f>
        <v>WFP</v>
      </c>
      <c r="Q124" s="5"/>
    </row>
    <row r="125">
      <c r="A125" s="5" t="str">
        <f>IFERROR(__xludf.DUMMYFUNCTION("""COMPUTED_VALUE"""),"Outbound")</f>
        <v>Outbound</v>
      </c>
      <c r="B125" s="5">
        <f>IFERROR(__xludf.DUMMYFUNCTION("""COMPUTED_VALUE"""),899.0)</f>
        <v>899</v>
      </c>
      <c r="C125" s="5" t="str">
        <f>IFERROR(__xludf.DUMMYFUNCTION("""COMPUTED_VALUE"""),"POPI S")</f>
        <v>POPI S</v>
      </c>
      <c r="D125" s="5">
        <f>IFERROR(__xludf.DUMMYFUNCTION("""COMPUTED_VALUE"""),9527233.0)</f>
        <v>9527233</v>
      </c>
      <c r="E125" s="5" t="str">
        <f>IFERROR(__xludf.DUMMYFUNCTION("""COMPUTED_VALUE"""),"Yuzhny/Pivdennyi")</f>
        <v>Yuzhny/Pivdennyi</v>
      </c>
      <c r="F125" s="5" t="str">
        <f>IFERROR(__xludf.DUMMYFUNCTION("""COMPUTED_VALUE"""),"Spain")</f>
        <v>Spain</v>
      </c>
      <c r="G125" s="5" t="str">
        <f>IFERROR(__xludf.DUMMYFUNCTION("""COMPUTED_VALUE"""),"Wheat")</f>
        <v>Wheat</v>
      </c>
      <c r="H125" s="6">
        <f>IFERROR(__xludf.DUMMYFUNCTION("""COMPUTED_VALUE"""),69810.0)</f>
        <v>69810</v>
      </c>
      <c r="I125" s="7">
        <f>IFERROR(__xludf.DUMMYFUNCTION("""COMPUTED_VALUE"""),45032.0)</f>
        <v>45032</v>
      </c>
      <c r="J125" s="7">
        <f>IFERROR(__xludf.DUMMYFUNCTION("""COMPUTED_VALUE"""),45045.0)</f>
        <v>45045</v>
      </c>
      <c r="K125" s="5" t="str">
        <f>IFERROR(__xludf.DUMMYFUNCTION("""COMPUTED_VALUE"""),"high-income")</f>
        <v>high-income</v>
      </c>
      <c r="L125" s="5" t="str">
        <f>IFERROR(__xludf.DUMMYFUNCTION("""COMPUTED_VALUE"""),"Liberia")</f>
        <v>Liberia</v>
      </c>
      <c r="M125" s="5" t="str">
        <f>IFERROR(__xludf.DUMMYFUNCTION("""COMPUTED_VALUE"""),"Europe &amp; Central Asia")</f>
        <v>Europe &amp; Central Asia</v>
      </c>
      <c r="N125" s="5" t="str">
        <f>IFERROR(__xludf.DUMMYFUNCTION("""COMPUTED_VALUE"""),"Western Europe and Others")</f>
        <v>Western Europe and Others</v>
      </c>
      <c r="O125" s="5" t="str">
        <f>IFERROR(__xludf.DUMMYFUNCTION("""COMPUTED_VALUE"""),"developed")</f>
        <v>developed</v>
      </c>
      <c r="P125" s="5"/>
      <c r="Q125" s="5"/>
    </row>
    <row r="126">
      <c r="A126" s="5" t="str">
        <f>IFERROR(__xludf.DUMMYFUNCTION("""COMPUTED_VALUE"""),"Outbound")</f>
        <v>Outbound</v>
      </c>
      <c r="B126" s="5">
        <f>IFERROR(__xludf.DUMMYFUNCTION("""COMPUTED_VALUE"""),898.0)</f>
        <v>898</v>
      </c>
      <c r="C126" s="5" t="str">
        <f>IFERROR(__xludf.DUMMYFUNCTION("""COMPUTED_VALUE"""),"OMICRON ATLAS")</f>
        <v>OMICRON ATLAS</v>
      </c>
      <c r="D126" s="5">
        <f>IFERROR(__xludf.DUMMYFUNCTION("""COMPUTED_VALUE"""),9464510.0)</f>
        <v>9464510</v>
      </c>
      <c r="E126" s="5" t="str">
        <f>IFERROR(__xludf.DUMMYFUNCTION("""COMPUTED_VALUE"""),"Odesa")</f>
        <v>Odesa</v>
      </c>
      <c r="F126" s="5" t="str">
        <f>IFERROR(__xludf.DUMMYFUNCTION("""COMPUTED_VALUE"""),"China")</f>
        <v>China</v>
      </c>
      <c r="G126" s="5" t="str">
        <f>IFERROR(__xludf.DUMMYFUNCTION("""COMPUTED_VALUE"""),"Corn")</f>
        <v>Corn</v>
      </c>
      <c r="H126" s="6">
        <f>IFERROR(__xludf.DUMMYFUNCTION("""COMPUTED_VALUE"""),65400.0)</f>
        <v>65400</v>
      </c>
      <c r="I126" s="7">
        <f>IFERROR(__xludf.DUMMYFUNCTION("""COMPUTED_VALUE"""),45032.0)</f>
        <v>45032</v>
      </c>
      <c r="J126" s="7">
        <f>IFERROR(__xludf.DUMMYFUNCTION("""COMPUTED_VALUE"""),45046.0)</f>
        <v>45046</v>
      </c>
      <c r="K126" s="5" t="str">
        <f>IFERROR(__xludf.DUMMYFUNCTION("""COMPUTED_VALUE"""),"upper-middle-income")</f>
        <v>upper-middle-income</v>
      </c>
      <c r="L126" s="5" t="str">
        <f>IFERROR(__xludf.DUMMYFUNCTION("""COMPUTED_VALUE"""),"Liberia")</f>
        <v>Liberia</v>
      </c>
      <c r="M126" s="5" t="str">
        <f>IFERROR(__xludf.DUMMYFUNCTION("""COMPUTED_VALUE"""),"East Asia &amp; Pacific")</f>
        <v>East Asia &amp; Pacific</v>
      </c>
      <c r="N126" s="5" t="str">
        <f>IFERROR(__xludf.DUMMYFUNCTION("""COMPUTED_VALUE"""),"Asia-Pacific")</f>
        <v>Asia-Pacific</v>
      </c>
      <c r="O126" s="5" t="str">
        <f>IFERROR(__xludf.DUMMYFUNCTION("""COMPUTED_VALUE"""),"developing")</f>
        <v>developing</v>
      </c>
      <c r="P126" s="5"/>
      <c r="Q126" s="5"/>
    </row>
    <row r="127">
      <c r="A127" s="5" t="str">
        <f>IFERROR(__xludf.DUMMYFUNCTION("""COMPUTED_VALUE"""),"Outbound")</f>
        <v>Outbound</v>
      </c>
      <c r="B127" s="5">
        <f>IFERROR(__xludf.DUMMYFUNCTION("""COMPUTED_VALUE"""),897.0)</f>
        <v>897</v>
      </c>
      <c r="C127" s="5" t="str">
        <f>IFERROR(__xludf.DUMMYFUNCTION("""COMPUTED_VALUE"""),"FORTUNE PROSPERITY")</f>
        <v>FORTUNE PROSPERITY</v>
      </c>
      <c r="D127" s="5">
        <f>IFERROR(__xludf.DUMMYFUNCTION("""COMPUTED_VALUE"""),9303510.0)</f>
        <v>9303510</v>
      </c>
      <c r="E127" s="5" t="str">
        <f>IFERROR(__xludf.DUMMYFUNCTION("""COMPUTED_VALUE"""),"Odesa")</f>
        <v>Odesa</v>
      </c>
      <c r="F127" s="5" t="str">
        <f>IFERROR(__xludf.DUMMYFUNCTION("""COMPUTED_VALUE"""),"China")</f>
        <v>China</v>
      </c>
      <c r="G127" s="5" t="str">
        <f>IFERROR(__xludf.DUMMYFUNCTION("""COMPUTED_VALUE"""),"Corn")</f>
        <v>Corn</v>
      </c>
      <c r="H127" s="6">
        <f>IFERROR(__xludf.DUMMYFUNCTION("""COMPUTED_VALUE"""),29220.0)</f>
        <v>29220</v>
      </c>
      <c r="I127" s="7">
        <f>IFERROR(__xludf.DUMMYFUNCTION("""COMPUTED_VALUE"""),45032.0)</f>
        <v>45032</v>
      </c>
      <c r="J127" s="7">
        <f>IFERROR(__xludf.DUMMYFUNCTION("""COMPUTED_VALUE"""),45045.0)</f>
        <v>45045</v>
      </c>
      <c r="K127" s="5" t="str">
        <f>IFERROR(__xludf.DUMMYFUNCTION("""COMPUTED_VALUE"""),"upper-middle-income")</f>
        <v>upper-middle-income</v>
      </c>
      <c r="L127" s="5" t="str">
        <f>IFERROR(__xludf.DUMMYFUNCTION("""COMPUTED_VALUE"""),"Panama")</f>
        <v>Panama</v>
      </c>
      <c r="M127" s="5" t="str">
        <f>IFERROR(__xludf.DUMMYFUNCTION("""COMPUTED_VALUE"""),"East Asia &amp; Pacific")</f>
        <v>East Asia &amp; Pacific</v>
      </c>
      <c r="N127" s="5" t="str">
        <f>IFERROR(__xludf.DUMMYFUNCTION("""COMPUTED_VALUE"""),"Asia-Pacific")</f>
        <v>Asia-Pacific</v>
      </c>
      <c r="O127" s="5" t="str">
        <f>IFERROR(__xludf.DUMMYFUNCTION("""COMPUTED_VALUE"""),"developing")</f>
        <v>developing</v>
      </c>
      <c r="P127" s="5"/>
      <c r="Q127" s="5"/>
    </row>
    <row r="128">
      <c r="A128" s="5" t="str">
        <f>IFERROR(__xludf.DUMMYFUNCTION("""COMPUTED_VALUE"""),"Outbound +")</f>
        <v>Outbound +</v>
      </c>
      <c r="B128" s="5">
        <f>IFERROR(__xludf.DUMMYFUNCTION("""COMPUTED_VALUE"""),897.0)</f>
        <v>897</v>
      </c>
      <c r="C128" s="5" t="str">
        <f>IFERROR(__xludf.DUMMYFUNCTION("""COMPUTED_VALUE"""),"FORTUNE PROSPERITY")</f>
        <v>FORTUNE PROSPERITY</v>
      </c>
      <c r="D128" s="5">
        <f>IFERROR(__xludf.DUMMYFUNCTION("""COMPUTED_VALUE"""),9303510.0)</f>
        <v>9303510</v>
      </c>
      <c r="E128" s="5" t="str">
        <f>IFERROR(__xludf.DUMMYFUNCTION("""COMPUTED_VALUE"""),"Odesa")</f>
        <v>Odesa</v>
      </c>
      <c r="F128" s="5" t="str">
        <f>IFERROR(__xludf.DUMMYFUNCTION("""COMPUTED_VALUE"""),"China")</f>
        <v>China</v>
      </c>
      <c r="G128" s="5" t="str">
        <f>IFERROR(__xludf.DUMMYFUNCTION("""COMPUTED_VALUE"""),"Barley")</f>
        <v>Barley</v>
      </c>
      <c r="H128" s="6">
        <f>IFERROR(__xludf.DUMMYFUNCTION("""COMPUTED_VALUE"""),33000.0)</f>
        <v>33000</v>
      </c>
      <c r="I128" s="7">
        <f>IFERROR(__xludf.DUMMYFUNCTION("""COMPUTED_VALUE"""),45032.0)</f>
        <v>45032</v>
      </c>
      <c r="J128" s="7">
        <f>IFERROR(__xludf.DUMMYFUNCTION("""COMPUTED_VALUE"""),45045.0)</f>
        <v>45045</v>
      </c>
      <c r="K128" s="5" t="str">
        <f>IFERROR(__xludf.DUMMYFUNCTION("""COMPUTED_VALUE"""),"upper-middle-income")</f>
        <v>upper-middle-income</v>
      </c>
      <c r="L128" s="5" t="str">
        <f>IFERROR(__xludf.DUMMYFUNCTION("""COMPUTED_VALUE"""),"Panama")</f>
        <v>Panama</v>
      </c>
      <c r="M128" s="5" t="str">
        <f>IFERROR(__xludf.DUMMYFUNCTION("""COMPUTED_VALUE"""),"East Asia &amp; Pacific")</f>
        <v>East Asia &amp; Pacific</v>
      </c>
      <c r="N128" s="5" t="str">
        <f>IFERROR(__xludf.DUMMYFUNCTION("""COMPUTED_VALUE"""),"Asia-Pacific")</f>
        <v>Asia-Pacific</v>
      </c>
      <c r="O128" s="5" t="str">
        <f>IFERROR(__xludf.DUMMYFUNCTION("""COMPUTED_VALUE"""),"developing")</f>
        <v>developing</v>
      </c>
      <c r="P128" s="5"/>
      <c r="Q128" s="5"/>
    </row>
    <row r="129">
      <c r="A129" s="5" t="str">
        <f>IFERROR(__xludf.DUMMYFUNCTION("""COMPUTED_VALUE"""),"Outbound")</f>
        <v>Outbound</v>
      </c>
      <c r="B129" s="5">
        <f>IFERROR(__xludf.DUMMYFUNCTION("""COMPUTED_VALUE"""),896.0)</f>
        <v>896</v>
      </c>
      <c r="C129" s="5" t="str">
        <f>IFERROR(__xludf.DUMMYFUNCTION("""COMPUTED_VALUE"""),"DIAMANTI")</f>
        <v>DIAMANTI</v>
      </c>
      <c r="D129" s="5">
        <f>IFERROR(__xludf.DUMMYFUNCTION("""COMPUTED_VALUE"""),9494096.0)</f>
        <v>9494096</v>
      </c>
      <c r="E129" s="5" t="str">
        <f>IFERROR(__xludf.DUMMYFUNCTION("""COMPUTED_VALUE"""),"Yuzhny/Pivdennyi")</f>
        <v>Yuzhny/Pivdennyi</v>
      </c>
      <c r="F129" s="5" t="str">
        <f>IFERROR(__xludf.DUMMYFUNCTION("""COMPUTED_VALUE"""),"China")</f>
        <v>China</v>
      </c>
      <c r="G129" s="5" t="str">
        <f>IFERROR(__xludf.DUMMYFUNCTION("""COMPUTED_VALUE"""),"Corn")</f>
        <v>Corn</v>
      </c>
      <c r="H129" s="6">
        <f>IFERROR(__xludf.DUMMYFUNCTION("""COMPUTED_VALUE"""),70546.0)</f>
        <v>70546</v>
      </c>
      <c r="I129" s="7">
        <f>IFERROR(__xludf.DUMMYFUNCTION("""COMPUTED_VALUE"""),45032.0)</f>
        <v>45032</v>
      </c>
      <c r="J129" s="7">
        <f>IFERROR(__xludf.DUMMYFUNCTION("""COMPUTED_VALUE"""),45045.0)</f>
        <v>45045</v>
      </c>
      <c r="K129" s="5" t="str">
        <f>IFERROR(__xludf.DUMMYFUNCTION("""COMPUTED_VALUE"""),"upper-middle-income")</f>
        <v>upper-middle-income</v>
      </c>
      <c r="L129" s="5" t="str">
        <f>IFERROR(__xludf.DUMMYFUNCTION("""COMPUTED_VALUE"""),"Marshall Islands")</f>
        <v>Marshall Islands</v>
      </c>
      <c r="M129" s="5" t="str">
        <f>IFERROR(__xludf.DUMMYFUNCTION("""COMPUTED_VALUE"""),"East Asia &amp; Pacific")</f>
        <v>East Asia &amp; Pacific</v>
      </c>
      <c r="N129" s="5" t="str">
        <f>IFERROR(__xludf.DUMMYFUNCTION("""COMPUTED_VALUE"""),"Asia-Pacific")</f>
        <v>Asia-Pacific</v>
      </c>
      <c r="O129" s="5" t="str">
        <f>IFERROR(__xludf.DUMMYFUNCTION("""COMPUTED_VALUE"""),"developing")</f>
        <v>developing</v>
      </c>
      <c r="P129" s="5"/>
      <c r="Q129" s="5"/>
    </row>
    <row r="130">
      <c r="A130" s="5" t="str">
        <f>IFERROR(__xludf.DUMMYFUNCTION("""COMPUTED_VALUE"""),"Outbound")</f>
        <v>Outbound</v>
      </c>
      <c r="B130" s="5">
        <f>IFERROR(__xludf.DUMMYFUNCTION("""COMPUTED_VALUE"""),895.0)</f>
        <v>895</v>
      </c>
      <c r="C130" s="5" t="str">
        <f>IFERROR(__xludf.DUMMYFUNCTION("""COMPUTED_VALUE"""),"AMANO T")</f>
        <v>AMANO T</v>
      </c>
      <c r="D130" s="5">
        <f>IFERROR(__xludf.DUMMYFUNCTION("""COMPUTED_VALUE"""),9117832.0)</f>
        <v>9117832</v>
      </c>
      <c r="E130" s="5" t="str">
        <f>IFERROR(__xludf.DUMMYFUNCTION("""COMPUTED_VALUE"""),"Chornomorsk")</f>
        <v>Chornomorsk</v>
      </c>
      <c r="F130" s="5" t="str">
        <f>IFERROR(__xludf.DUMMYFUNCTION("""COMPUTED_VALUE"""),"Italy")</f>
        <v>Italy</v>
      </c>
      <c r="G130" s="5" t="str">
        <f>IFERROR(__xludf.DUMMYFUNCTION("""COMPUTED_VALUE"""),"Corn")</f>
        <v>Corn</v>
      </c>
      <c r="H130" s="6">
        <f>IFERROR(__xludf.DUMMYFUNCTION("""COMPUTED_VALUE"""),25415.0)</f>
        <v>25415</v>
      </c>
      <c r="I130" s="7">
        <f>IFERROR(__xludf.DUMMYFUNCTION("""COMPUTED_VALUE"""),45032.0)</f>
        <v>45032</v>
      </c>
      <c r="J130" s="7">
        <f>IFERROR(__xludf.DUMMYFUNCTION("""COMPUTED_VALUE"""),45047.0)</f>
        <v>45047</v>
      </c>
      <c r="K130" s="5" t="str">
        <f>IFERROR(__xludf.DUMMYFUNCTION("""COMPUTED_VALUE"""),"high-income")</f>
        <v>high-income</v>
      </c>
      <c r="L130" s="5" t="str">
        <f>IFERROR(__xludf.DUMMYFUNCTION("""COMPUTED_VALUE"""),"Belize")</f>
        <v>Belize</v>
      </c>
      <c r="M130" s="5" t="str">
        <f>IFERROR(__xludf.DUMMYFUNCTION("""COMPUTED_VALUE"""),"Europe &amp; Central Asia")</f>
        <v>Europe &amp; Central Asia</v>
      </c>
      <c r="N130" s="5" t="str">
        <f>IFERROR(__xludf.DUMMYFUNCTION("""COMPUTED_VALUE"""),"Western Europe and Others")</f>
        <v>Western Europe and Others</v>
      </c>
      <c r="O130" s="5" t="str">
        <f>IFERROR(__xludf.DUMMYFUNCTION("""COMPUTED_VALUE"""),"developed")</f>
        <v>developed</v>
      </c>
      <c r="P130" s="5"/>
      <c r="Q130" s="5"/>
    </row>
    <row r="131">
      <c r="A131" s="5" t="str">
        <f>IFERROR(__xludf.DUMMYFUNCTION("""COMPUTED_VALUE"""),"Outbound")</f>
        <v>Outbound</v>
      </c>
      <c r="B131" s="5">
        <f>IFERROR(__xludf.DUMMYFUNCTION("""COMPUTED_VALUE"""),894.0)</f>
        <v>894</v>
      </c>
      <c r="C131" s="5" t="str">
        <f>IFERROR(__xludf.DUMMYFUNCTION("""COMPUTED_VALUE"""),"SSI NEMESIS")</f>
        <v>SSI NEMESIS</v>
      </c>
      <c r="D131" s="5">
        <f>IFERROR(__xludf.DUMMYFUNCTION("""COMPUTED_VALUE"""),9311529.0)</f>
        <v>9311529</v>
      </c>
      <c r="E131" s="5" t="str">
        <f>IFERROR(__xludf.DUMMYFUNCTION("""COMPUTED_VALUE"""),"Chornomorsk")</f>
        <v>Chornomorsk</v>
      </c>
      <c r="F131" s="5" t="str">
        <f>IFERROR(__xludf.DUMMYFUNCTION("""COMPUTED_VALUE"""),"Bangladesh")</f>
        <v>Bangladesh</v>
      </c>
      <c r="G131" s="5" t="str">
        <f>IFERROR(__xludf.DUMMYFUNCTION("""COMPUTED_VALUE"""),"Wheat")</f>
        <v>Wheat</v>
      </c>
      <c r="H131" s="6">
        <f>IFERROR(__xludf.DUMMYFUNCTION("""COMPUTED_VALUE"""),54500.0)</f>
        <v>54500</v>
      </c>
      <c r="I131" s="7">
        <f>IFERROR(__xludf.DUMMYFUNCTION("""COMPUTED_VALUE"""),45031.0)</f>
        <v>45031</v>
      </c>
      <c r="J131" s="7">
        <f>IFERROR(__xludf.DUMMYFUNCTION("""COMPUTED_VALUE"""),45048.0)</f>
        <v>45048</v>
      </c>
      <c r="K131" s="5" t="str">
        <f>IFERROR(__xludf.DUMMYFUNCTION("""COMPUTED_VALUE"""),"lower-middle income")</f>
        <v>lower-middle income</v>
      </c>
      <c r="L131" s="5" t="str">
        <f>IFERROR(__xludf.DUMMYFUNCTION("""COMPUTED_VALUE"""),"Marshall Islands")</f>
        <v>Marshall Islands</v>
      </c>
      <c r="M131" s="5" t="str">
        <f>IFERROR(__xludf.DUMMYFUNCTION("""COMPUTED_VALUE"""),"South Asia")</f>
        <v>South Asia</v>
      </c>
      <c r="N131" s="5" t="str">
        <f>IFERROR(__xludf.DUMMYFUNCTION("""COMPUTED_VALUE"""),"Asia-Pacific")</f>
        <v>Asia-Pacific</v>
      </c>
      <c r="O131" s="5" t="str">
        <f>IFERROR(__xludf.DUMMYFUNCTION("""COMPUTED_VALUE"""),"developing")</f>
        <v>developing</v>
      </c>
      <c r="P131" s="5"/>
      <c r="Q131" s="5"/>
    </row>
    <row r="132">
      <c r="A132" s="5" t="str">
        <f>IFERROR(__xludf.DUMMYFUNCTION("""COMPUTED_VALUE"""),"Outbound")</f>
        <v>Outbound</v>
      </c>
      <c r="B132" s="5">
        <f>IFERROR(__xludf.DUMMYFUNCTION("""COMPUTED_VALUE"""),893.0)</f>
        <v>893</v>
      </c>
      <c r="C132" s="5" t="str">
        <f>IFERROR(__xludf.DUMMYFUNCTION("""COMPUTED_VALUE"""),"GULMAR")</f>
        <v>GULMAR</v>
      </c>
      <c r="D132" s="5">
        <f>IFERROR(__xludf.DUMMYFUNCTION("""COMPUTED_VALUE"""),9146962.0)</f>
        <v>9146962</v>
      </c>
      <c r="E132" s="5" t="str">
        <f>IFERROR(__xludf.DUMMYFUNCTION("""COMPUTED_VALUE"""),"Odesa")</f>
        <v>Odesa</v>
      </c>
      <c r="F132" s="5" t="str">
        <f>IFERROR(__xludf.DUMMYFUNCTION("""COMPUTED_VALUE"""),"Spain")</f>
        <v>Spain</v>
      </c>
      <c r="G132" s="5" t="str">
        <f>IFERROR(__xludf.DUMMYFUNCTION("""COMPUTED_VALUE"""),"Wheat")</f>
        <v>Wheat</v>
      </c>
      <c r="H132" s="6">
        <f>IFERROR(__xludf.DUMMYFUNCTION("""COMPUTED_VALUE"""),40582.0)</f>
        <v>40582</v>
      </c>
      <c r="I132" s="7">
        <f>IFERROR(__xludf.DUMMYFUNCTION("""COMPUTED_VALUE"""),45029.0)</f>
        <v>45029</v>
      </c>
      <c r="J132" s="7">
        <f>IFERROR(__xludf.DUMMYFUNCTION("""COMPUTED_VALUE"""),45046.0)</f>
        <v>45046</v>
      </c>
      <c r="K132" s="5" t="str">
        <f>IFERROR(__xludf.DUMMYFUNCTION("""COMPUTED_VALUE"""),"high-income")</f>
        <v>high-income</v>
      </c>
      <c r="L132" s="5" t="str">
        <f>IFERROR(__xludf.DUMMYFUNCTION("""COMPUTED_VALUE"""),"Türkiye")</f>
        <v>Türkiye</v>
      </c>
      <c r="M132" s="5" t="str">
        <f>IFERROR(__xludf.DUMMYFUNCTION("""COMPUTED_VALUE"""),"Europe &amp; Central Asia")</f>
        <v>Europe &amp; Central Asia</v>
      </c>
      <c r="N132" s="5" t="str">
        <f>IFERROR(__xludf.DUMMYFUNCTION("""COMPUTED_VALUE"""),"Western Europe and Others")</f>
        <v>Western Europe and Others</v>
      </c>
      <c r="O132" s="5" t="str">
        <f>IFERROR(__xludf.DUMMYFUNCTION("""COMPUTED_VALUE"""),"developed")</f>
        <v>developed</v>
      </c>
      <c r="P132" s="5"/>
      <c r="Q132" s="5"/>
    </row>
    <row r="133">
      <c r="A133" s="5" t="str">
        <f>IFERROR(__xludf.DUMMYFUNCTION("""COMPUTED_VALUE"""),"Outbound")</f>
        <v>Outbound</v>
      </c>
      <c r="B133" s="5">
        <f>IFERROR(__xludf.DUMMYFUNCTION("""COMPUTED_VALUE"""),892.0)</f>
        <v>892</v>
      </c>
      <c r="C133" s="5" t="str">
        <f>IFERROR(__xludf.DUMMYFUNCTION("""COMPUTED_VALUE"""),"SERVET ANA")</f>
        <v>SERVET ANA</v>
      </c>
      <c r="D133" s="5">
        <f>IFERROR(__xludf.DUMMYFUNCTION("""COMPUTED_VALUE"""),9443774.0)</f>
        <v>9443774</v>
      </c>
      <c r="E133" s="5" t="str">
        <f>IFERROR(__xludf.DUMMYFUNCTION("""COMPUTED_VALUE"""),"Chornomorsk")</f>
        <v>Chornomorsk</v>
      </c>
      <c r="F133" s="5" t="str">
        <f>IFERROR(__xludf.DUMMYFUNCTION("""COMPUTED_VALUE"""),"Italy")</f>
        <v>Italy</v>
      </c>
      <c r="G133" s="5" t="str">
        <f>IFERROR(__xludf.DUMMYFUNCTION("""COMPUTED_VALUE"""),"Corn")</f>
        <v>Corn</v>
      </c>
      <c r="H133" s="6">
        <f>IFERROR(__xludf.DUMMYFUNCTION("""COMPUTED_VALUE"""),29400.0)</f>
        <v>29400</v>
      </c>
      <c r="I133" s="7">
        <f>IFERROR(__xludf.DUMMYFUNCTION("""COMPUTED_VALUE"""),45028.0)</f>
        <v>45028</v>
      </c>
      <c r="J133" s="7">
        <f>IFERROR(__xludf.DUMMYFUNCTION("""COMPUTED_VALUE"""),45042.0)</f>
        <v>45042</v>
      </c>
      <c r="K133" s="5" t="str">
        <f>IFERROR(__xludf.DUMMYFUNCTION("""COMPUTED_VALUE"""),"high-income")</f>
        <v>high-income</v>
      </c>
      <c r="L133" s="5" t="str">
        <f>IFERROR(__xludf.DUMMYFUNCTION("""COMPUTED_VALUE"""),"Türkiye")</f>
        <v>Türkiye</v>
      </c>
      <c r="M133" s="5" t="str">
        <f>IFERROR(__xludf.DUMMYFUNCTION("""COMPUTED_VALUE"""),"Europe &amp; Central Asia")</f>
        <v>Europe &amp; Central Asia</v>
      </c>
      <c r="N133" s="5" t="str">
        <f>IFERROR(__xludf.DUMMYFUNCTION("""COMPUTED_VALUE"""),"Western Europe and Others")</f>
        <v>Western Europe and Others</v>
      </c>
      <c r="O133" s="5" t="str">
        <f>IFERROR(__xludf.DUMMYFUNCTION("""COMPUTED_VALUE"""),"developed")</f>
        <v>developed</v>
      </c>
      <c r="P133" s="5"/>
      <c r="Q133" s="5"/>
    </row>
    <row r="134">
      <c r="A134" s="5" t="str">
        <f>IFERROR(__xludf.DUMMYFUNCTION("""COMPUTED_VALUE"""),"Outbound")</f>
        <v>Outbound</v>
      </c>
      <c r="B134" s="5">
        <f>IFERROR(__xludf.DUMMYFUNCTION("""COMPUTED_VALUE"""),891.0)</f>
        <v>891</v>
      </c>
      <c r="C134" s="5" t="str">
        <f>IFERROR(__xludf.DUMMYFUNCTION("""COMPUTED_VALUE"""),"GREAT VENTURE")</f>
        <v>GREAT VENTURE</v>
      </c>
      <c r="D134" s="5">
        <f>IFERROR(__xludf.DUMMYFUNCTION("""COMPUTED_VALUE"""),9317470.0)</f>
        <v>9317470</v>
      </c>
      <c r="E134" s="5" t="str">
        <f>IFERROR(__xludf.DUMMYFUNCTION("""COMPUTED_VALUE"""),"Odesa")</f>
        <v>Odesa</v>
      </c>
      <c r="F134" s="5" t="str">
        <f>IFERROR(__xludf.DUMMYFUNCTION("""COMPUTED_VALUE"""),"Egypt")</f>
        <v>Egypt</v>
      </c>
      <c r="G134" s="5" t="str">
        <f>IFERROR(__xludf.DUMMYFUNCTION("""COMPUTED_VALUE"""),"Corn")</f>
        <v>Corn</v>
      </c>
      <c r="H134" s="6">
        <f>IFERROR(__xludf.DUMMYFUNCTION("""COMPUTED_VALUE"""),65237.0)</f>
        <v>65237</v>
      </c>
      <c r="I134" s="7">
        <f>IFERROR(__xludf.DUMMYFUNCTION("""COMPUTED_VALUE"""),45028.0)</f>
        <v>45028</v>
      </c>
      <c r="J134" s="7">
        <f>IFERROR(__xludf.DUMMYFUNCTION("""COMPUTED_VALUE"""),45047.0)</f>
        <v>45047</v>
      </c>
      <c r="K134" s="5" t="str">
        <f>IFERROR(__xludf.DUMMYFUNCTION("""COMPUTED_VALUE"""),"lower-middle income")</f>
        <v>lower-middle income</v>
      </c>
      <c r="L134" s="5" t="str">
        <f>IFERROR(__xludf.DUMMYFUNCTION("""COMPUTED_VALUE"""),"Singapore")</f>
        <v>Singapore</v>
      </c>
      <c r="M134" s="5" t="str">
        <f>IFERROR(__xludf.DUMMYFUNCTION("""COMPUTED_VALUE"""),"Middle East &amp; North Africa")</f>
        <v>Middle East &amp; North Africa</v>
      </c>
      <c r="N134" s="5" t="str">
        <f>IFERROR(__xludf.DUMMYFUNCTION("""COMPUTED_VALUE"""),"Africa")</f>
        <v>Africa</v>
      </c>
      <c r="O134" s="5" t="str">
        <f>IFERROR(__xludf.DUMMYFUNCTION("""COMPUTED_VALUE"""),"developing")</f>
        <v>developing</v>
      </c>
      <c r="P134" s="5"/>
      <c r="Q134" s="5"/>
    </row>
    <row r="135">
      <c r="A135" s="5" t="str">
        <f>IFERROR(__xludf.DUMMYFUNCTION("""COMPUTED_VALUE"""),"Outbound")</f>
        <v>Outbound</v>
      </c>
      <c r="B135" s="5">
        <f>IFERROR(__xludf.DUMMYFUNCTION("""COMPUTED_VALUE"""),890.0)</f>
        <v>890</v>
      </c>
      <c r="C135" s="5" t="str">
        <f>IFERROR(__xludf.DUMMYFUNCTION("""COMPUTED_VALUE"""),"CHAMPION ENDURANCE")</f>
        <v>CHAMPION ENDURANCE</v>
      </c>
      <c r="D135" s="5">
        <f>IFERROR(__xludf.DUMMYFUNCTION("""COMPUTED_VALUE"""),9288813.0)</f>
        <v>9288813</v>
      </c>
      <c r="E135" s="5" t="str">
        <f>IFERROR(__xludf.DUMMYFUNCTION("""COMPUTED_VALUE"""),"Yuzhny/Pivdennyi")</f>
        <v>Yuzhny/Pivdennyi</v>
      </c>
      <c r="F135" s="5" t="str">
        <f>IFERROR(__xludf.DUMMYFUNCTION("""COMPUTED_VALUE"""),"India")</f>
        <v>India</v>
      </c>
      <c r="G135" s="5" t="str">
        <f>IFERROR(__xludf.DUMMYFUNCTION("""COMPUTED_VALUE"""),"Sunflower oil")</f>
        <v>Sunflower oil</v>
      </c>
      <c r="H135" s="6">
        <f>IFERROR(__xludf.DUMMYFUNCTION("""COMPUTED_VALUE"""),44500.0)</f>
        <v>44500</v>
      </c>
      <c r="I135" s="7">
        <f>IFERROR(__xludf.DUMMYFUNCTION("""COMPUTED_VALUE"""),45028.0)</f>
        <v>45028</v>
      </c>
      <c r="J135" s="7">
        <f>IFERROR(__xludf.DUMMYFUNCTION("""COMPUTED_VALUE"""),45044.0)</f>
        <v>45044</v>
      </c>
      <c r="K135" s="5" t="str">
        <f>IFERROR(__xludf.DUMMYFUNCTION("""COMPUTED_VALUE"""),"lower-middle income")</f>
        <v>lower-middle income</v>
      </c>
      <c r="L135" s="5" t="str">
        <f>IFERROR(__xludf.DUMMYFUNCTION("""COMPUTED_VALUE"""),"Marshall Islands")</f>
        <v>Marshall Islands</v>
      </c>
      <c r="M135" s="5" t="str">
        <f>IFERROR(__xludf.DUMMYFUNCTION("""COMPUTED_VALUE"""),"South Asia")</f>
        <v>South Asia</v>
      </c>
      <c r="N135" s="5" t="str">
        <f>IFERROR(__xludf.DUMMYFUNCTION("""COMPUTED_VALUE"""),"Asia-Pacific")</f>
        <v>Asia-Pacific</v>
      </c>
      <c r="O135" s="5" t="str">
        <f>IFERROR(__xludf.DUMMYFUNCTION("""COMPUTED_VALUE"""),"developing")</f>
        <v>developing</v>
      </c>
      <c r="P135" s="5"/>
      <c r="Q135" s="5"/>
    </row>
    <row r="136">
      <c r="A136" s="5" t="str">
        <f>IFERROR(__xludf.DUMMYFUNCTION("""COMPUTED_VALUE"""),"Outbound")</f>
        <v>Outbound</v>
      </c>
      <c r="B136" s="5">
        <f>IFERROR(__xludf.DUMMYFUNCTION("""COMPUTED_VALUE"""),889.0)</f>
        <v>889</v>
      </c>
      <c r="C136" s="5" t="str">
        <f>IFERROR(__xludf.DUMMYFUNCTION("""COMPUTED_VALUE"""),"IRENE MADIAS")</f>
        <v>IRENE MADIAS</v>
      </c>
      <c r="D136" s="5">
        <f>IFERROR(__xludf.DUMMYFUNCTION("""COMPUTED_VALUE"""),9567154.0)</f>
        <v>9567154</v>
      </c>
      <c r="E136" s="5" t="str">
        <f>IFERROR(__xludf.DUMMYFUNCTION("""COMPUTED_VALUE"""),"Chornomorsk")</f>
        <v>Chornomorsk</v>
      </c>
      <c r="F136" s="5" t="str">
        <f>IFERROR(__xludf.DUMMYFUNCTION("""COMPUTED_VALUE"""),"China")</f>
        <v>China</v>
      </c>
      <c r="G136" s="5" t="str">
        <f>IFERROR(__xludf.DUMMYFUNCTION("""COMPUTED_VALUE"""),"Sunflower meal")</f>
        <v>Sunflower meal</v>
      </c>
      <c r="H136" s="6">
        <f>IFERROR(__xludf.DUMMYFUNCTION("""COMPUTED_VALUE"""),52000.0)</f>
        <v>52000</v>
      </c>
      <c r="I136" s="7">
        <f>IFERROR(__xludf.DUMMYFUNCTION("""COMPUTED_VALUE"""),45027.0)</f>
        <v>45027</v>
      </c>
      <c r="J136" s="7">
        <f>IFERROR(__xludf.DUMMYFUNCTION("""COMPUTED_VALUE"""),45041.0)</f>
        <v>45041</v>
      </c>
      <c r="K136" s="5" t="str">
        <f>IFERROR(__xludf.DUMMYFUNCTION("""COMPUTED_VALUE"""),"upper-middle-income")</f>
        <v>upper-middle-income</v>
      </c>
      <c r="L136" s="5" t="str">
        <f>IFERROR(__xludf.DUMMYFUNCTION("""COMPUTED_VALUE"""),"Liberia")</f>
        <v>Liberia</v>
      </c>
      <c r="M136" s="5" t="str">
        <f>IFERROR(__xludf.DUMMYFUNCTION("""COMPUTED_VALUE"""),"East Asia &amp; Pacific")</f>
        <v>East Asia &amp; Pacific</v>
      </c>
      <c r="N136" s="5" t="str">
        <f>IFERROR(__xludf.DUMMYFUNCTION("""COMPUTED_VALUE"""),"Asia-Pacific")</f>
        <v>Asia-Pacific</v>
      </c>
      <c r="O136" s="5" t="str">
        <f>IFERROR(__xludf.DUMMYFUNCTION("""COMPUTED_VALUE"""),"developing")</f>
        <v>developing</v>
      </c>
      <c r="P136" s="5"/>
      <c r="Q136" s="5"/>
    </row>
    <row r="137">
      <c r="A137" s="5" t="str">
        <f>IFERROR(__xludf.DUMMYFUNCTION("""COMPUTED_VALUE"""),"Outbound +")</f>
        <v>Outbound +</v>
      </c>
      <c r="B137" s="5">
        <f>IFERROR(__xludf.DUMMYFUNCTION("""COMPUTED_VALUE"""),889.0)</f>
        <v>889</v>
      </c>
      <c r="C137" s="5" t="str">
        <f>IFERROR(__xludf.DUMMYFUNCTION("""COMPUTED_VALUE"""),"IRENE MADIAS")</f>
        <v>IRENE MADIAS</v>
      </c>
      <c r="D137" s="5">
        <f>IFERROR(__xludf.DUMMYFUNCTION("""COMPUTED_VALUE"""),9567154.0)</f>
        <v>9567154</v>
      </c>
      <c r="E137" s="5" t="str">
        <f>IFERROR(__xludf.DUMMYFUNCTION("""COMPUTED_VALUE"""),"Chornomorsk")</f>
        <v>Chornomorsk</v>
      </c>
      <c r="F137" s="5" t="str">
        <f>IFERROR(__xludf.DUMMYFUNCTION("""COMPUTED_VALUE"""),"China")</f>
        <v>China</v>
      </c>
      <c r="G137" s="5" t="str">
        <f>IFERROR(__xludf.DUMMYFUNCTION("""COMPUTED_VALUE"""),"Barley")</f>
        <v>Barley</v>
      </c>
      <c r="H137" s="6">
        <f>IFERROR(__xludf.DUMMYFUNCTION("""COMPUTED_VALUE"""),10460.0)</f>
        <v>10460</v>
      </c>
      <c r="I137" s="7">
        <f>IFERROR(__xludf.DUMMYFUNCTION("""COMPUTED_VALUE"""),45027.0)</f>
        <v>45027</v>
      </c>
      <c r="J137" s="7">
        <f>IFERROR(__xludf.DUMMYFUNCTION("""COMPUTED_VALUE"""),45041.0)</f>
        <v>45041</v>
      </c>
      <c r="K137" s="5" t="str">
        <f>IFERROR(__xludf.DUMMYFUNCTION("""COMPUTED_VALUE"""),"upper-middle-income")</f>
        <v>upper-middle-income</v>
      </c>
      <c r="L137" s="5" t="str">
        <f>IFERROR(__xludf.DUMMYFUNCTION("""COMPUTED_VALUE"""),"Liberia")</f>
        <v>Liberia</v>
      </c>
      <c r="M137" s="5" t="str">
        <f>IFERROR(__xludf.DUMMYFUNCTION("""COMPUTED_VALUE"""),"East Asia &amp; Pacific")</f>
        <v>East Asia &amp; Pacific</v>
      </c>
      <c r="N137" s="5" t="str">
        <f>IFERROR(__xludf.DUMMYFUNCTION("""COMPUTED_VALUE"""),"Asia-Pacific")</f>
        <v>Asia-Pacific</v>
      </c>
      <c r="O137" s="5" t="str">
        <f>IFERROR(__xludf.DUMMYFUNCTION("""COMPUTED_VALUE"""),"developing")</f>
        <v>developing</v>
      </c>
      <c r="P137" s="5"/>
      <c r="Q137" s="5"/>
    </row>
    <row r="138">
      <c r="A138" s="5" t="str">
        <f>IFERROR(__xludf.DUMMYFUNCTION("""COMPUTED_VALUE"""),"Outbound")</f>
        <v>Outbound</v>
      </c>
      <c r="B138" s="5">
        <f>IFERROR(__xludf.DUMMYFUNCTION("""COMPUTED_VALUE"""),888.0)</f>
        <v>888</v>
      </c>
      <c r="C138" s="5" t="str">
        <f>IFERROR(__xludf.DUMMYFUNCTION("""COMPUTED_VALUE"""),"OMICRON TITINA")</f>
        <v>OMICRON TITINA</v>
      </c>
      <c r="D138" s="5">
        <f>IFERROR(__xludf.DUMMYFUNCTION("""COMPUTED_VALUE"""),9304277.0)</f>
        <v>9304277</v>
      </c>
      <c r="E138" s="5" t="str">
        <f>IFERROR(__xludf.DUMMYFUNCTION("""COMPUTED_VALUE"""),"Yuzhny/Pivdennyi")</f>
        <v>Yuzhny/Pivdennyi</v>
      </c>
      <c r="F138" s="5" t="str">
        <f>IFERROR(__xludf.DUMMYFUNCTION("""COMPUTED_VALUE"""),"Portugal")</f>
        <v>Portugal</v>
      </c>
      <c r="G138" s="5" t="str">
        <f>IFERROR(__xludf.DUMMYFUNCTION("""COMPUTED_VALUE"""),"Corn")</f>
        <v>Corn</v>
      </c>
      <c r="H138" s="6">
        <f>IFERROR(__xludf.DUMMYFUNCTION("""COMPUTED_VALUE"""),66196.0)</f>
        <v>66196</v>
      </c>
      <c r="I138" s="7">
        <f>IFERROR(__xludf.DUMMYFUNCTION("""COMPUTED_VALUE"""),45026.0)</f>
        <v>45026</v>
      </c>
      <c r="J138" s="7">
        <f>IFERROR(__xludf.DUMMYFUNCTION("""COMPUTED_VALUE"""),45040.0)</f>
        <v>45040</v>
      </c>
      <c r="K138" s="5" t="str">
        <f>IFERROR(__xludf.DUMMYFUNCTION("""COMPUTED_VALUE"""),"high-income")</f>
        <v>high-income</v>
      </c>
      <c r="L138" s="5" t="str">
        <f>IFERROR(__xludf.DUMMYFUNCTION("""COMPUTED_VALUE"""),"Liberia")</f>
        <v>Liberia</v>
      </c>
      <c r="M138" s="5" t="str">
        <f>IFERROR(__xludf.DUMMYFUNCTION("""COMPUTED_VALUE"""),"Europe &amp; Central Asia")</f>
        <v>Europe &amp; Central Asia</v>
      </c>
      <c r="N138" s="5" t="str">
        <f>IFERROR(__xludf.DUMMYFUNCTION("""COMPUTED_VALUE"""),"Western Europe and Others")</f>
        <v>Western Europe and Others</v>
      </c>
      <c r="O138" s="5" t="str">
        <f>IFERROR(__xludf.DUMMYFUNCTION("""COMPUTED_VALUE"""),"developed")</f>
        <v>developed</v>
      </c>
      <c r="P138" s="5"/>
      <c r="Q138" s="5"/>
    </row>
    <row r="139">
      <c r="A139" s="5" t="str">
        <f>IFERROR(__xludf.DUMMYFUNCTION("""COMPUTED_VALUE"""),"Outbound")</f>
        <v>Outbound</v>
      </c>
      <c r="B139" s="5">
        <f>IFERROR(__xludf.DUMMYFUNCTION("""COMPUTED_VALUE"""),887.0)</f>
        <v>887</v>
      </c>
      <c r="C139" s="5" t="str">
        <f>IFERROR(__xludf.DUMMYFUNCTION("""COMPUTED_VALUE"""),"DEEP BLUE")</f>
        <v>DEEP BLUE</v>
      </c>
      <c r="D139" s="5">
        <f>IFERROR(__xludf.DUMMYFUNCTION("""COMPUTED_VALUE"""),9616723.0)</f>
        <v>9616723</v>
      </c>
      <c r="E139" s="5" t="str">
        <f>IFERROR(__xludf.DUMMYFUNCTION("""COMPUTED_VALUE"""),"Chornomorsk")</f>
        <v>Chornomorsk</v>
      </c>
      <c r="F139" s="5" t="str">
        <f>IFERROR(__xludf.DUMMYFUNCTION("""COMPUTED_VALUE"""),"China")</f>
        <v>China</v>
      </c>
      <c r="G139" s="5" t="str">
        <f>IFERROR(__xludf.DUMMYFUNCTION("""COMPUTED_VALUE"""),"Sunflower meal")</f>
        <v>Sunflower meal</v>
      </c>
      <c r="H139" s="6">
        <f>IFERROR(__xludf.DUMMYFUNCTION("""COMPUTED_VALUE"""),25247.0)</f>
        <v>25247</v>
      </c>
      <c r="I139" s="7">
        <f>IFERROR(__xludf.DUMMYFUNCTION("""COMPUTED_VALUE"""),45026.0)</f>
        <v>45026</v>
      </c>
      <c r="J139" s="7">
        <f>IFERROR(__xludf.DUMMYFUNCTION("""COMPUTED_VALUE"""),45042.0)</f>
        <v>45042</v>
      </c>
      <c r="K139" s="5" t="str">
        <f>IFERROR(__xludf.DUMMYFUNCTION("""COMPUTED_VALUE"""),"upper-middle-income")</f>
        <v>upper-middle-income</v>
      </c>
      <c r="L139" s="5" t="str">
        <f>IFERROR(__xludf.DUMMYFUNCTION("""COMPUTED_VALUE"""),"Marshall Islands")</f>
        <v>Marshall Islands</v>
      </c>
      <c r="M139" s="5" t="str">
        <f>IFERROR(__xludf.DUMMYFUNCTION("""COMPUTED_VALUE"""),"East Asia &amp; Pacific")</f>
        <v>East Asia &amp; Pacific</v>
      </c>
      <c r="N139" s="5" t="str">
        <f>IFERROR(__xludf.DUMMYFUNCTION("""COMPUTED_VALUE"""),"Asia-Pacific")</f>
        <v>Asia-Pacific</v>
      </c>
      <c r="O139" s="5" t="str">
        <f>IFERROR(__xludf.DUMMYFUNCTION("""COMPUTED_VALUE"""),"developing")</f>
        <v>developing</v>
      </c>
      <c r="P139" s="5"/>
      <c r="Q139" s="5"/>
    </row>
    <row r="140">
      <c r="A140" s="5" t="str">
        <f>IFERROR(__xludf.DUMMYFUNCTION("""COMPUTED_VALUE"""),"Outbound")</f>
        <v>Outbound</v>
      </c>
      <c r="B140" s="5">
        <f>IFERROR(__xludf.DUMMYFUNCTION("""COMPUTED_VALUE"""),886.0)</f>
        <v>886</v>
      </c>
      <c r="C140" s="5" t="str">
        <f>IFERROR(__xludf.DUMMYFUNCTION("""COMPUTED_VALUE"""),"CORNELIA")</f>
        <v>CORNELIA</v>
      </c>
      <c r="D140" s="5">
        <f>IFERROR(__xludf.DUMMYFUNCTION("""COMPUTED_VALUE"""),9216597.0)</f>
        <v>9216597</v>
      </c>
      <c r="E140" s="5" t="str">
        <f>IFERROR(__xludf.DUMMYFUNCTION("""COMPUTED_VALUE"""),"Yuzhny/Pivdennyi")</f>
        <v>Yuzhny/Pivdennyi</v>
      </c>
      <c r="F140" s="5" t="str">
        <f>IFERROR(__xludf.DUMMYFUNCTION("""COMPUTED_VALUE"""),"Morocco")</f>
        <v>Morocco</v>
      </c>
      <c r="G140" s="5" t="str">
        <f>IFERROR(__xludf.DUMMYFUNCTION("""COMPUTED_VALUE"""),"Sunflower meal")</f>
        <v>Sunflower meal</v>
      </c>
      <c r="H140" s="6">
        <f>IFERROR(__xludf.DUMMYFUNCTION("""COMPUTED_VALUE"""),18700.0)</f>
        <v>18700</v>
      </c>
      <c r="I140" s="7">
        <f>IFERROR(__xludf.DUMMYFUNCTION("""COMPUTED_VALUE"""),45026.0)</f>
        <v>45026</v>
      </c>
      <c r="J140" s="7">
        <f>IFERROR(__xludf.DUMMYFUNCTION("""COMPUTED_VALUE"""),45044.0)</f>
        <v>45044</v>
      </c>
      <c r="K140" s="5" t="str">
        <f>IFERROR(__xludf.DUMMYFUNCTION("""COMPUTED_VALUE"""),"lower-middle income")</f>
        <v>lower-middle income</v>
      </c>
      <c r="L140" s="5" t="str">
        <f>IFERROR(__xludf.DUMMYFUNCTION("""COMPUTED_VALUE"""),"Liberia")</f>
        <v>Liberia</v>
      </c>
      <c r="M140" s="5" t="str">
        <f>IFERROR(__xludf.DUMMYFUNCTION("""COMPUTED_VALUE"""),"Middle East &amp; North Africa")</f>
        <v>Middle East &amp; North Africa</v>
      </c>
      <c r="N140" s="5" t="str">
        <f>IFERROR(__xludf.DUMMYFUNCTION("""COMPUTED_VALUE"""),"Africa")</f>
        <v>Africa</v>
      </c>
      <c r="O140" s="5" t="str">
        <f>IFERROR(__xludf.DUMMYFUNCTION("""COMPUTED_VALUE"""),"developing")</f>
        <v>developing</v>
      </c>
      <c r="P140" s="5"/>
      <c r="Q140" s="5"/>
    </row>
    <row r="141">
      <c r="A141" s="5" t="str">
        <f>IFERROR(__xludf.DUMMYFUNCTION("""COMPUTED_VALUE"""),"Outbound")</f>
        <v>Outbound</v>
      </c>
      <c r="B141" s="5">
        <f>IFERROR(__xludf.DUMMYFUNCTION("""COMPUTED_VALUE"""),885.0)</f>
        <v>885</v>
      </c>
      <c r="C141" s="5" t="str">
        <f>IFERROR(__xludf.DUMMYFUNCTION("""COMPUTED_VALUE"""),"SEA INSPIRATION")</f>
        <v>SEA INSPIRATION</v>
      </c>
      <c r="D141" s="5">
        <f>IFERROR(__xludf.DUMMYFUNCTION("""COMPUTED_VALUE"""),9604782.0)</f>
        <v>9604782</v>
      </c>
      <c r="E141" s="5" t="str">
        <f>IFERROR(__xludf.DUMMYFUNCTION("""COMPUTED_VALUE"""),"Yuzhny/Pivdennyi")</f>
        <v>Yuzhny/Pivdennyi</v>
      </c>
      <c r="F141" s="5" t="str">
        <f>IFERROR(__xludf.DUMMYFUNCTION("""COMPUTED_VALUE"""),"Egypt")</f>
        <v>Egypt</v>
      </c>
      <c r="G141" s="5" t="str">
        <f>IFERROR(__xludf.DUMMYFUNCTION("""COMPUTED_VALUE"""),"Corn")</f>
        <v>Corn</v>
      </c>
      <c r="H141" s="6">
        <f>IFERROR(__xludf.DUMMYFUNCTION("""COMPUTED_VALUE"""),27500.0)</f>
        <v>27500</v>
      </c>
      <c r="I141" s="7">
        <f>IFERROR(__xludf.DUMMYFUNCTION("""COMPUTED_VALUE"""),45025.0)</f>
        <v>45025</v>
      </c>
      <c r="J141" s="7">
        <f>IFERROR(__xludf.DUMMYFUNCTION("""COMPUTED_VALUE"""),45038.0)</f>
        <v>45038</v>
      </c>
      <c r="K141" s="5" t="str">
        <f>IFERROR(__xludf.DUMMYFUNCTION("""COMPUTED_VALUE"""),"lower-middle income")</f>
        <v>lower-middle income</v>
      </c>
      <c r="L141" s="5" t="str">
        <f>IFERROR(__xludf.DUMMYFUNCTION("""COMPUTED_VALUE"""),"Panama")</f>
        <v>Panama</v>
      </c>
      <c r="M141" s="5" t="str">
        <f>IFERROR(__xludf.DUMMYFUNCTION("""COMPUTED_VALUE"""),"Middle East &amp; North Africa")</f>
        <v>Middle East &amp; North Africa</v>
      </c>
      <c r="N141" s="5" t="str">
        <f>IFERROR(__xludf.DUMMYFUNCTION("""COMPUTED_VALUE"""),"Africa")</f>
        <v>Africa</v>
      </c>
      <c r="O141" s="5" t="str">
        <f>IFERROR(__xludf.DUMMYFUNCTION("""COMPUTED_VALUE"""),"developing")</f>
        <v>developing</v>
      </c>
      <c r="P141" s="5"/>
      <c r="Q141" s="5"/>
    </row>
    <row r="142">
      <c r="A142" s="5" t="str">
        <f>IFERROR(__xludf.DUMMYFUNCTION("""COMPUTED_VALUE"""),"Outbound")</f>
        <v>Outbound</v>
      </c>
      <c r="B142" s="5">
        <f>IFERROR(__xludf.DUMMYFUNCTION("""COMPUTED_VALUE"""),884.0)</f>
        <v>884</v>
      </c>
      <c r="C142" s="5" t="str">
        <f>IFERROR(__xludf.DUMMYFUNCTION("""COMPUTED_VALUE"""),"LADY AYSE")</f>
        <v>LADY AYSE</v>
      </c>
      <c r="D142" s="5">
        <f>IFERROR(__xludf.DUMMYFUNCTION("""COMPUTED_VALUE"""),9227871.0)</f>
        <v>9227871</v>
      </c>
      <c r="E142" s="5" t="str">
        <f>IFERROR(__xludf.DUMMYFUNCTION("""COMPUTED_VALUE"""),"Odesa")</f>
        <v>Odesa</v>
      </c>
      <c r="F142" s="5" t="str">
        <f>IFERROR(__xludf.DUMMYFUNCTION("""COMPUTED_VALUE"""),"Türkiye")</f>
        <v>Türkiye</v>
      </c>
      <c r="G142" s="5" t="str">
        <f>IFERROR(__xludf.DUMMYFUNCTION("""COMPUTED_VALUE"""),"Wheat")</f>
        <v>Wheat</v>
      </c>
      <c r="H142" s="6">
        <f>IFERROR(__xludf.DUMMYFUNCTION("""COMPUTED_VALUE"""),15500.0)</f>
        <v>15500</v>
      </c>
      <c r="I142" s="7">
        <f>IFERROR(__xludf.DUMMYFUNCTION("""COMPUTED_VALUE"""),45025.0)</f>
        <v>45025</v>
      </c>
      <c r="J142" s="7">
        <f>IFERROR(__xludf.DUMMYFUNCTION("""COMPUTED_VALUE"""),45037.0)</f>
        <v>45037</v>
      </c>
      <c r="K142" s="5" t="str">
        <f>IFERROR(__xludf.DUMMYFUNCTION("""COMPUTED_VALUE"""),"upper-middle-income")</f>
        <v>upper-middle-income</v>
      </c>
      <c r="L142" s="5" t="str">
        <f>IFERROR(__xludf.DUMMYFUNCTION("""COMPUTED_VALUE"""),"Panama")</f>
        <v>Panama</v>
      </c>
      <c r="M142" s="5" t="str">
        <f>IFERROR(__xludf.DUMMYFUNCTION("""COMPUTED_VALUE"""),"Europe &amp; Central Asia")</f>
        <v>Europe &amp; Central Asia</v>
      </c>
      <c r="N142" s="5" t="str">
        <f>IFERROR(__xludf.DUMMYFUNCTION("""COMPUTED_VALUE"""),"Asia-Pacific")</f>
        <v>Asia-Pacific</v>
      </c>
      <c r="O142" s="5" t="str">
        <f>IFERROR(__xludf.DUMMYFUNCTION("""COMPUTED_VALUE"""),"developing")</f>
        <v>developing</v>
      </c>
      <c r="P142" s="5"/>
      <c r="Q142" s="5"/>
    </row>
    <row r="143">
      <c r="A143" s="5" t="str">
        <f>IFERROR(__xludf.DUMMYFUNCTION("""COMPUTED_VALUE"""),"Outbound")</f>
        <v>Outbound</v>
      </c>
      <c r="B143" s="5">
        <f>IFERROR(__xludf.DUMMYFUNCTION("""COMPUTED_VALUE"""),883.0)</f>
        <v>883</v>
      </c>
      <c r="C143" s="5" t="str">
        <f>IFERROR(__xludf.DUMMYFUNCTION("""COMPUTED_VALUE"""),"FALCON S")</f>
        <v>FALCON S</v>
      </c>
      <c r="D143" s="5">
        <f>IFERROR(__xludf.DUMMYFUNCTION("""COMPUTED_VALUE"""),9329423.0)</f>
        <v>9329423</v>
      </c>
      <c r="E143" s="5" t="str">
        <f>IFERROR(__xludf.DUMMYFUNCTION("""COMPUTED_VALUE"""),"Chornomorsk")</f>
        <v>Chornomorsk</v>
      </c>
      <c r="F143" s="5" t="str">
        <f>IFERROR(__xludf.DUMMYFUNCTION("""COMPUTED_VALUE"""),"Türkiye")</f>
        <v>Türkiye</v>
      </c>
      <c r="G143" s="5" t="str">
        <f>IFERROR(__xludf.DUMMYFUNCTION("""COMPUTED_VALUE"""),"Barley")</f>
        <v>Barley</v>
      </c>
      <c r="H143" s="6">
        <f>IFERROR(__xludf.DUMMYFUNCTION("""COMPUTED_VALUE"""),20100.0)</f>
        <v>20100</v>
      </c>
      <c r="I143" s="7">
        <f>IFERROR(__xludf.DUMMYFUNCTION("""COMPUTED_VALUE"""),45025.0)</f>
        <v>45025</v>
      </c>
      <c r="J143" s="7">
        <f>IFERROR(__xludf.DUMMYFUNCTION("""COMPUTED_VALUE"""),45039.0)</f>
        <v>45039</v>
      </c>
      <c r="K143" s="5" t="str">
        <f>IFERROR(__xludf.DUMMYFUNCTION("""COMPUTED_VALUE"""),"upper-middle-income")</f>
        <v>upper-middle-income</v>
      </c>
      <c r="L143" s="5" t="str">
        <f>IFERROR(__xludf.DUMMYFUNCTION("""COMPUTED_VALUE"""),"Liberia")</f>
        <v>Liberia</v>
      </c>
      <c r="M143" s="5" t="str">
        <f>IFERROR(__xludf.DUMMYFUNCTION("""COMPUTED_VALUE"""),"Europe &amp; Central Asia")</f>
        <v>Europe &amp; Central Asia</v>
      </c>
      <c r="N143" s="5" t="str">
        <f>IFERROR(__xludf.DUMMYFUNCTION("""COMPUTED_VALUE"""),"Asia-Pacific")</f>
        <v>Asia-Pacific</v>
      </c>
      <c r="O143" s="5" t="str">
        <f>IFERROR(__xludf.DUMMYFUNCTION("""COMPUTED_VALUE"""),"developing")</f>
        <v>developing</v>
      </c>
      <c r="P143" s="5"/>
      <c r="Q143" s="5"/>
    </row>
    <row r="144">
      <c r="A144" s="5" t="str">
        <f>IFERROR(__xludf.DUMMYFUNCTION("""COMPUTED_VALUE"""),"Outbound +")</f>
        <v>Outbound +</v>
      </c>
      <c r="B144" s="5">
        <f>IFERROR(__xludf.DUMMYFUNCTION("""COMPUTED_VALUE"""),883.0)</f>
        <v>883</v>
      </c>
      <c r="C144" s="5" t="str">
        <f>IFERROR(__xludf.DUMMYFUNCTION("""COMPUTED_VALUE"""),"FALCON S")</f>
        <v>FALCON S</v>
      </c>
      <c r="D144" s="5">
        <f>IFERROR(__xludf.DUMMYFUNCTION("""COMPUTED_VALUE"""),9329423.0)</f>
        <v>9329423</v>
      </c>
      <c r="E144" s="5" t="str">
        <f>IFERROR(__xludf.DUMMYFUNCTION("""COMPUTED_VALUE"""),"Chornomorsk")</f>
        <v>Chornomorsk</v>
      </c>
      <c r="F144" s="5" t="str">
        <f>IFERROR(__xludf.DUMMYFUNCTION("""COMPUTED_VALUE"""),"Türkiye")</f>
        <v>Türkiye</v>
      </c>
      <c r="G144" s="5" t="str">
        <f>IFERROR(__xludf.DUMMYFUNCTION("""COMPUTED_VALUE"""),"Wheat")</f>
        <v>Wheat</v>
      </c>
      <c r="H144" s="6">
        <f>IFERROR(__xludf.DUMMYFUNCTION("""COMPUTED_VALUE"""),12300.0)</f>
        <v>12300</v>
      </c>
      <c r="I144" s="7">
        <f>IFERROR(__xludf.DUMMYFUNCTION("""COMPUTED_VALUE"""),45025.0)</f>
        <v>45025</v>
      </c>
      <c r="J144" s="7">
        <f>IFERROR(__xludf.DUMMYFUNCTION("""COMPUTED_VALUE"""),45039.0)</f>
        <v>45039</v>
      </c>
      <c r="K144" s="5" t="str">
        <f>IFERROR(__xludf.DUMMYFUNCTION("""COMPUTED_VALUE"""),"upper-middle-income")</f>
        <v>upper-middle-income</v>
      </c>
      <c r="L144" s="5" t="str">
        <f>IFERROR(__xludf.DUMMYFUNCTION("""COMPUTED_VALUE"""),"Liberia")</f>
        <v>Liberia</v>
      </c>
      <c r="M144" s="5" t="str">
        <f>IFERROR(__xludf.DUMMYFUNCTION("""COMPUTED_VALUE"""),"Europe &amp; Central Asia")</f>
        <v>Europe &amp; Central Asia</v>
      </c>
      <c r="N144" s="5" t="str">
        <f>IFERROR(__xludf.DUMMYFUNCTION("""COMPUTED_VALUE"""),"Asia-Pacific")</f>
        <v>Asia-Pacific</v>
      </c>
      <c r="O144" s="5" t="str">
        <f>IFERROR(__xludf.DUMMYFUNCTION("""COMPUTED_VALUE"""),"developing")</f>
        <v>developing</v>
      </c>
      <c r="P144" s="5"/>
      <c r="Q144" s="5"/>
    </row>
    <row r="145">
      <c r="A145" s="5" t="str">
        <f>IFERROR(__xludf.DUMMYFUNCTION("""COMPUTED_VALUE"""),"Outbound")</f>
        <v>Outbound</v>
      </c>
      <c r="B145" s="5">
        <f>IFERROR(__xludf.DUMMYFUNCTION("""COMPUTED_VALUE"""),882.0)</f>
        <v>882</v>
      </c>
      <c r="C145" s="5" t="str">
        <f>IFERROR(__xludf.DUMMYFUNCTION("""COMPUTED_VALUE"""),"SUMMER LADY")</f>
        <v>SUMMER LADY</v>
      </c>
      <c r="D145" s="5">
        <f>IFERROR(__xludf.DUMMYFUNCTION("""COMPUTED_VALUE"""),9184938.0)</f>
        <v>9184938</v>
      </c>
      <c r="E145" s="5" t="str">
        <f>IFERROR(__xludf.DUMMYFUNCTION("""COMPUTED_VALUE"""),"Chornomorsk")</f>
        <v>Chornomorsk</v>
      </c>
      <c r="F145" s="5" t="str">
        <f>IFERROR(__xludf.DUMMYFUNCTION("""COMPUTED_VALUE"""),"Spain")</f>
        <v>Spain</v>
      </c>
      <c r="G145" s="5" t="str">
        <f>IFERROR(__xludf.DUMMYFUNCTION("""COMPUTED_VALUE"""),"Corn")</f>
        <v>Corn</v>
      </c>
      <c r="H145" s="6">
        <f>IFERROR(__xludf.DUMMYFUNCTION("""COMPUTED_VALUE"""),35824.0)</f>
        <v>35824</v>
      </c>
      <c r="I145" s="7">
        <f>IFERROR(__xludf.DUMMYFUNCTION("""COMPUTED_VALUE"""),45024.0)</f>
        <v>45024</v>
      </c>
      <c r="J145" s="7">
        <f>IFERROR(__xludf.DUMMYFUNCTION("""COMPUTED_VALUE"""),45037.0)</f>
        <v>45037</v>
      </c>
      <c r="K145" s="5" t="str">
        <f>IFERROR(__xludf.DUMMYFUNCTION("""COMPUTED_VALUE"""),"high-income")</f>
        <v>high-income</v>
      </c>
      <c r="L145" s="5" t="str">
        <f>IFERROR(__xludf.DUMMYFUNCTION("""COMPUTED_VALUE"""),"Marshall Islands")</f>
        <v>Marshall Islands</v>
      </c>
      <c r="M145" s="5" t="str">
        <f>IFERROR(__xludf.DUMMYFUNCTION("""COMPUTED_VALUE"""),"Europe &amp; Central Asia")</f>
        <v>Europe &amp; Central Asia</v>
      </c>
      <c r="N145" s="5" t="str">
        <f>IFERROR(__xludf.DUMMYFUNCTION("""COMPUTED_VALUE"""),"Western Europe and Others")</f>
        <v>Western Europe and Others</v>
      </c>
      <c r="O145" s="5" t="str">
        <f>IFERROR(__xludf.DUMMYFUNCTION("""COMPUTED_VALUE"""),"developed")</f>
        <v>developed</v>
      </c>
      <c r="P145" s="5"/>
      <c r="Q145" s="5"/>
    </row>
    <row r="146">
      <c r="A146" s="5" t="str">
        <f>IFERROR(__xludf.DUMMYFUNCTION("""COMPUTED_VALUE"""),"Outbound +")</f>
        <v>Outbound +</v>
      </c>
      <c r="B146" s="5">
        <f>IFERROR(__xludf.DUMMYFUNCTION("""COMPUTED_VALUE"""),882.0)</f>
        <v>882</v>
      </c>
      <c r="C146" s="5" t="str">
        <f>IFERROR(__xludf.DUMMYFUNCTION("""COMPUTED_VALUE"""),"SUMMER LADY")</f>
        <v>SUMMER LADY</v>
      </c>
      <c r="D146" s="5">
        <f>IFERROR(__xludf.DUMMYFUNCTION("""COMPUTED_VALUE"""),9184938.0)</f>
        <v>9184938</v>
      </c>
      <c r="E146" s="5" t="str">
        <f>IFERROR(__xludf.DUMMYFUNCTION("""COMPUTED_VALUE"""),"Chornomorsk")</f>
        <v>Chornomorsk</v>
      </c>
      <c r="F146" s="5" t="str">
        <f>IFERROR(__xludf.DUMMYFUNCTION("""COMPUTED_VALUE"""),"Spain")</f>
        <v>Spain</v>
      </c>
      <c r="G146" s="5" t="str">
        <f>IFERROR(__xludf.DUMMYFUNCTION("""COMPUTED_VALUE"""),"Wheat")</f>
        <v>Wheat</v>
      </c>
      <c r="H146" s="6">
        <f>IFERROR(__xludf.DUMMYFUNCTION("""COMPUTED_VALUE"""),27846.0)</f>
        <v>27846</v>
      </c>
      <c r="I146" s="7">
        <f>IFERROR(__xludf.DUMMYFUNCTION("""COMPUTED_VALUE"""),45024.0)</f>
        <v>45024</v>
      </c>
      <c r="J146" s="7">
        <f>IFERROR(__xludf.DUMMYFUNCTION("""COMPUTED_VALUE"""),45037.0)</f>
        <v>45037</v>
      </c>
      <c r="K146" s="5" t="str">
        <f>IFERROR(__xludf.DUMMYFUNCTION("""COMPUTED_VALUE"""),"high-income")</f>
        <v>high-income</v>
      </c>
      <c r="L146" s="5" t="str">
        <f>IFERROR(__xludf.DUMMYFUNCTION("""COMPUTED_VALUE"""),"Marshall Islands")</f>
        <v>Marshall Islands</v>
      </c>
      <c r="M146" s="5" t="str">
        <f>IFERROR(__xludf.DUMMYFUNCTION("""COMPUTED_VALUE"""),"Europe &amp; Central Asia")</f>
        <v>Europe &amp; Central Asia</v>
      </c>
      <c r="N146" s="5" t="str">
        <f>IFERROR(__xludf.DUMMYFUNCTION("""COMPUTED_VALUE"""),"Western Europe and Others")</f>
        <v>Western Europe and Others</v>
      </c>
      <c r="O146" s="5" t="str">
        <f>IFERROR(__xludf.DUMMYFUNCTION("""COMPUTED_VALUE"""),"developed")</f>
        <v>developed</v>
      </c>
      <c r="P146" s="5"/>
      <c r="Q146" s="5"/>
    </row>
    <row r="147">
      <c r="A147" s="5" t="str">
        <f>IFERROR(__xludf.DUMMYFUNCTION("""COMPUTED_VALUE"""),"Outbound")</f>
        <v>Outbound</v>
      </c>
      <c r="B147" s="5">
        <f>IFERROR(__xludf.DUMMYFUNCTION("""COMPUTED_VALUE"""),881.0)</f>
        <v>881</v>
      </c>
      <c r="C147" s="5" t="str">
        <f>IFERROR(__xludf.DUMMYFUNCTION("""COMPUTED_VALUE"""),"ZHENG HUI")</f>
        <v>ZHENG HUI</v>
      </c>
      <c r="D147" s="5">
        <f>IFERROR(__xludf.DUMMYFUNCTION("""COMPUTED_VALUE"""),9596105.0)</f>
        <v>9596105</v>
      </c>
      <c r="E147" s="5" t="str">
        <f>IFERROR(__xludf.DUMMYFUNCTION("""COMPUTED_VALUE"""),"Yuzhny/Pivdennyi")</f>
        <v>Yuzhny/Pivdennyi</v>
      </c>
      <c r="F147" s="5" t="str">
        <f>IFERROR(__xludf.DUMMYFUNCTION("""COMPUTED_VALUE"""),"China")</f>
        <v>China</v>
      </c>
      <c r="G147" s="5" t="str">
        <f>IFERROR(__xludf.DUMMYFUNCTION("""COMPUTED_VALUE"""),"Corn")</f>
        <v>Corn</v>
      </c>
      <c r="H147" s="6">
        <f>IFERROR(__xludf.DUMMYFUNCTION("""COMPUTED_VALUE"""),70230.0)</f>
        <v>70230</v>
      </c>
      <c r="I147" s="7">
        <f>IFERROR(__xludf.DUMMYFUNCTION("""COMPUTED_VALUE"""),45023.0)</f>
        <v>45023</v>
      </c>
      <c r="J147" s="7">
        <f>IFERROR(__xludf.DUMMYFUNCTION("""COMPUTED_VALUE"""),45040.0)</f>
        <v>45040</v>
      </c>
      <c r="K147" s="5" t="str">
        <f>IFERROR(__xludf.DUMMYFUNCTION("""COMPUTED_VALUE"""),"upper-middle-income")</f>
        <v>upper-middle-income</v>
      </c>
      <c r="L147" s="5" t="str">
        <f>IFERROR(__xludf.DUMMYFUNCTION("""COMPUTED_VALUE"""),"Panama")</f>
        <v>Panama</v>
      </c>
      <c r="M147" s="5" t="str">
        <f>IFERROR(__xludf.DUMMYFUNCTION("""COMPUTED_VALUE"""),"East Asia &amp; Pacific")</f>
        <v>East Asia &amp; Pacific</v>
      </c>
      <c r="N147" s="5" t="str">
        <f>IFERROR(__xludf.DUMMYFUNCTION("""COMPUTED_VALUE"""),"Asia-Pacific")</f>
        <v>Asia-Pacific</v>
      </c>
      <c r="O147" s="5" t="str">
        <f>IFERROR(__xludf.DUMMYFUNCTION("""COMPUTED_VALUE"""),"developing")</f>
        <v>developing</v>
      </c>
      <c r="P147" s="5"/>
      <c r="Q147" s="5"/>
    </row>
    <row r="148">
      <c r="A148" s="5" t="str">
        <f>IFERROR(__xludf.DUMMYFUNCTION("""COMPUTED_VALUE"""),"Outbound")</f>
        <v>Outbound</v>
      </c>
      <c r="B148" s="5">
        <f>IFERROR(__xludf.DUMMYFUNCTION("""COMPUTED_VALUE"""),880.0)</f>
        <v>880</v>
      </c>
      <c r="C148" s="5" t="str">
        <f>IFERROR(__xludf.DUMMYFUNCTION("""COMPUTED_VALUE"""),"VERBIER")</f>
        <v>VERBIER</v>
      </c>
      <c r="D148" s="5">
        <f>IFERROR(__xludf.DUMMYFUNCTION("""COMPUTED_VALUE"""),9529619.0)</f>
        <v>9529619</v>
      </c>
      <c r="E148" s="5" t="str">
        <f>IFERROR(__xludf.DUMMYFUNCTION("""COMPUTED_VALUE"""),"Yuzhny/Pivdennyi")</f>
        <v>Yuzhny/Pivdennyi</v>
      </c>
      <c r="F148" s="5" t="str">
        <f>IFERROR(__xludf.DUMMYFUNCTION("""COMPUTED_VALUE"""),"Türkiye")</f>
        <v>Türkiye</v>
      </c>
      <c r="G148" s="5" t="str">
        <f>IFERROR(__xludf.DUMMYFUNCTION("""COMPUTED_VALUE"""),"Wheat")</f>
        <v>Wheat</v>
      </c>
      <c r="H148" s="6">
        <f>IFERROR(__xludf.DUMMYFUNCTION("""COMPUTED_VALUE"""),69135.0)</f>
        <v>69135</v>
      </c>
      <c r="I148" s="7">
        <f>IFERROR(__xludf.DUMMYFUNCTION("""COMPUTED_VALUE"""),45023.0)</f>
        <v>45023</v>
      </c>
      <c r="J148" s="7">
        <f>IFERROR(__xludf.DUMMYFUNCTION("""COMPUTED_VALUE"""),45035.0)</f>
        <v>45035</v>
      </c>
      <c r="K148" s="5" t="str">
        <f>IFERROR(__xludf.DUMMYFUNCTION("""COMPUTED_VALUE"""),"upper-middle-income")</f>
        <v>upper-middle-income</v>
      </c>
      <c r="L148" s="5" t="str">
        <f>IFERROR(__xludf.DUMMYFUNCTION("""COMPUTED_VALUE"""),"Panama")</f>
        <v>Panama</v>
      </c>
      <c r="M148" s="5" t="str">
        <f>IFERROR(__xludf.DUMMYFUNCTION("""COMPUTED_VALUE"""),"Europe &amp; Central Asia")</f>
        <v>Europe &amp; Central Asia</v>
      </c>
      <c r="N148" s="5" t="str">
        <f>IFERROR(__xludf.DUMMYFUNCTION("""COMPUTED_VALUE"""),"Asia-Pacific")</f>
        <v>Asia-Pacific</v>
      </c>
      <c r="O148" s="5" t="str">
        <f>IFERROR(__xludf.DUMMYFUNCTION("""COMPUTED_VALUE"""),"developing")</f>
        <v>developing</v>
      </c>
      <c r="P148" s="5"/>
      <c r="Q148" s="5"/>
    </row>
    <row r="149">
      <c r="A149" s="5" t="str">
        <f>IFERROR(__xludf.DUMMYFUNCTION("""COMPUTED_VALUE"""),"Outbound")</f>
        <v>Outbound</v>
      </c>
      <c r="B149" s="5">
        <f>IFERROR(__xludf.DUMMYFUNCTION("""COMPUTED_VALUE"""),879.0)</f>
        <v>879</v>
      </c>
      <c r="C149" s="5" t="str">
        <f>IFERROR(__xludf.DUMMYFUNCTION("""COMPUTED_VALUE"""),"VALERIO")</f>
        <v>VALERIO</v>
      </c>
      <c r="D149" s="5">
        <f>IFERROR(__xludf.DUMMYFUNCTION("""COMPUTED_VALUE"""),9244037.0)</f>
        <v>9244037</v>
      </c>
      <c r="E149" s="5" t="str">
        <f>IFERROR(__xludf.DUMMYFUNCTION("""COMPUTED_VALUE"""),"Odesa")</f>
        <v>Odesa</v>
      </c>
      <c r="F149" s="5" t="str">
        <f>IFERROR(__xludf.DUMMYFUNCTION("""COMPUTED_VALUE"""),"Libya")</f>
        <v>Libya</v>
      </c>
      <c r="G149" s="5" t="str">
        <f>IFERROR(__xludf.DUMMYFUNCTION("""COMPUTED_VALUE"""),"Corn")</f>
        <v>Corn</v>
      </c>
      <c r="H149" s="6">
        <f>IFERROR(__xludf.DUMMYFUNCTION("""COMPUTED_VALUE"""),24500.0)</f>
        <v>24500</v>
      </c>
      <c r="I149" s="7">
        <f>IFERROR(__xludf.DUMMYFUNCTION("""COMPUTED_VALUE"""),45023.0)</f>
        <v>45023</v>
      </c>
      <c r="J149" s="7">
        <f>IFERROR(__xludf.DUMMYFUNCTION("""COMPUTED_VALUE"""),45040.0)</f>
        <v>45040</v>
      </c>
      <c r="K149" s="5" t="str">
        <f>IFERROR(__xludf.DUMMYFUNCTION("""COMPUTED_VALUE"""),"upper-middle-income")</f>
        <v>upper-middle-income</v>
      </c>
      <c r="L149" s="5" t="str">
        <f>IFERROR(__xludf.DUMMYFUNCTION("""COMPUTED_VALUE"""),"Barbados")</f>
        <v>Barbados</v>
      </c>
      <c r="M149" s="5" t="str">
        <f>IFERROR(__xludf.DUMMYFUNCTION("""COMPUTED_VALUE"""),"Middle East &amp; North Africa")</f>
        <v>Middle East &amp; North Africa</v>
      </c>
      <c r="N149" s="5" t="str">
        <f>IFERROR(__xludf.DUMMYFUNCTION("""COMPUTED_VALUE"""),"Africa")</f>
        <v>Africa</v>
      </c>
      <c r="O149" s="5" t="str">
        <f>IFERROR(__xludf.DUMMYFUNCTION("""COMPUTED_VALUE"""),"developing")</f>
        <v>developing</v>
      </c>
      <c r="P149" s="5"/>
      <c r="Q149" s="5"/>
    </row>
    <row r="150">
      <c r="A150" s="5" t="str">
        <f>IFERROR(__xludf.DUMMYFUNCTION("""COMPUTED_VALUE"""),"Outbound")</f>
        <v>Outbound</v>
      </c>
      <c r="B150" s="5">
        <f>IFERROR(__xludf.DUMMYFUNCTION("""COMPUTED_VALUE"""),878.0)</f>
        <v>878</v>
      </c>
      <c r="C150" s="5" t="str">
        <f>IFERROR(__xludf.DUMMYFUNCTION("""COMPUTED_VALUE"""),"OCEAN ROYAL")</f>
        <v>OCEAN ROYAL</v>
      </c>
      <c r="D150" s="5">
        <f>IFERROR(__xludf.DUMMYFUNCTION("""COMPUTED_VALUE"""),9465150.0)</f>
        <v>9465150</v>
      </c>
      <c r="E150" s="5" t="str">
        <f>IFERROR(__xludf.DUMMYFUNCTION("""COMPUTED_VALUE"""),"Odesa")</f>
        <v>Odesa</v>
      </c>
      <c r="F150" s="5" t="str">
        <f>IFERROR(__xludf.DUMMYFUNCTION("""COMPUTED_VALUE"""),"China")</f>
        <v>China</v>
      </c>
      <c r="G150" s="5" t="str">
        <f>IFERROR(__xludf.DUMMYFUNCTION("""COMPUTED_VALUE"""),"Corn")</f>
        <v>Corn</v>
      </c>
      <c r="H150" s="6">
        <f>IFERROR(__xludf.DUMMYFUNCTION("""COMPUTED_VALUE"""),52000.0)</f>
        <v>52000</v>
      </c>
      <c r="I150" s="7">
        <f>IFERROR(__xludf.DUMMYFUNCTION("""COMPUTED_VALUE"""),45023.0)</f>
        <v>45023</v>
      </c>
      <c r="J150" s="7">
        <f>IFERROR(__xludf.DUMMYFUNCTION("""COMPUTED_VALUE"""),45036.0)</f>
        <v>45036</v>
      </c>
      <c r="K150" s="5" t="str">
        <f>IFERROR(__xludf.DUMMYFUNCTION("""COMPUTED_VALUE"""),"upper-middle-income")</f>
        <v>upper-middle-income</v>
      </c>
      <c r="L150" s="5" t="str">
        <f>IFERROR(__xludf.DUMMYFUNCTION("""COMPUTED_VALUE"""),"Malta")</f>
        <v>Malta</v>
      </c>
      <c r="M150" s="5" t="str">
        <f>IFERROR(__xludf.DUMMYFUNCTION("""COMPUTED_VALUE"""),"East Asia &amp; Pacific")</f>
        <v>East Asia &amp; Pacific</v>
      </c>
      <c r="N150" s="5" t="str">
        <f>IFERROR(__xludf.DUMMYFUNCTION("""COMPUTED_VALUE"""),"Asia-Pacific")</f>
        <v>Asia-Pacific</v>
      </c>
      <c r="O150" s="5" t="str">
        <f>IFERROR(__xludf.DUMMYFUNCTION("""COMPUTED_VALUE"""),"developing")</f>
        <v>developing</v>
      </c>
      <c r="P150" s="5"/>
      <c r="Q150" s="5"/>
    </row>
    <row r="151">
      <c r="A151" s="5" t="str">
        <f>IFERROR(__xludf.DUMMYFUNCTION("""COMPUTED_VALUE"""),"Outbound")</f>
        <v>Outbound</v>
      </c>
      <c r="B151" s="5">
        <f>IFERROR(__xludf.DUMMYFUNCTION("""COMPUTED_VALUE"""),877.0)</f>
        <v>877</v>
      </c>
      <c r="C151" s="5" t="str">
        <f>IFERROR(__xludf.DUMMYFUNCTION("""COMPUTED_VALUE"""),"KINGFISHER D")</f>
        <v>KINGFISHER D</v>
      </c>
      <c r="D151" s="5">
        <f>IFERROR(__xludf.DUMMYFUNCTION("""COMPUTED_VALUE"""),9238117.0)</f>
        <v>9238117</v>
      </c>
      <c r="E151" s="5" t="str">
        <f>IFERROR(__xludf.DUMMYFUNCTION("""COMPUTED_VALUE"""),"Yuzhny/Pivdennyi")</f>
        <v>Yuzhny/Pivdennyi</v>
      </c>
      <c r="F151" s="5" t="str">
        <f>IFERROR(__xludf.DUMMYFUNCTION("""COMPUTED_VALUE"""),"The Netherlands")</f>
        <v>The Netherlands</v>
      </c>
      <c r="G151" s="5" t="str">
        <f>IFERROR(__xludf.DUMMYFUNCTION("""COMPUTED_VALUE"""),"Soya beans")</f>
        <v>Soya beans</v>
      </c>
      <c r="H151" s="6">
        <f>IFERROR(__xludf.DUMMYFUNCTION("""COMPUTED_VALUE"""),26820.0)</f>
        <v>26820</v>
      </c>
      <c r="I151" s="7">
        <f>IFERROR(__xludf.DUMMYFUNCTION("""COMPUTED_VALUE"""),45023.0)</f>
        <v>45023</v>
      </c>
      <c r="J151" s="7">
        <f>IFERROR(__xludf.DUMMYFUNCTION("""COMPUTED_VALUE"""),45037.0)</f>
        <v>45037</v>
      </c>
      <c r="K151" s="5" t="str">
        <f>IFERROR(__xludf.DUMMYFUNCTION("""COMPUTED_VALUE"""),"high-income")</f>
        <v>high-income</v>
      </c>
      <c r="L151" s="5" t="str">
        <f>IFERROR(__xludf.DUMMYFUNCTION("""COMPUTED_VALUE"""),"Marshall Islands")</f>
        <v>Marshall Islands</v>
      </c>
      <c r="M151" s="5" t="str">
        <f>IFERROR(__xludf.DUMMYFUNCTION("""COMPUTED_VALUE"""),"Europe &amp; Central Asia")</f>
        <v>Europe &amp; Central Asia</v>
      </c>
      <c r="N151" s="5" t="str">
        <f>IFERROR(__xludf.DUMMYFUNCTION("""COMPUTED_VALUE"""),"Western Europe and Others")</f>
        <v>Western Europe and Others</v>
      </c>
      <c r="O151" s="5" t="str">
        <f>IFERROR(__xludf.DUMMYFUNCTION("""COMPUTED_VALUE"""),"developed")</f>
        <v>developed</v>
      </c>
      <c r="P151" s="5"/>
      <c r="Q151" s="5"/>
    </row>
    <row r="152">
      <c r="A152" s="5" t="str">
        <f>IFERROR(__xludf.DUMMYFUNCTION("""COMPUTED_VALUE"""),"Outbound")</f>
        <v>Outbound</v>
      </c>
      <c r="B152" s="5">
        <f>IFERROR(__xludf.DUMMYFUNCTION("""COMPUTED_VALUE"""),876.0)</f>
        <v>876</v>
      </c>
      <c r="C152" s="5" t="str">
        <f>IFERROR(__xludf.DUMMYFUNCTION("""COMPUTED_VALUE"""),"GLORIA M")</f>
        <v>GLORIA M</v>
      </c>
      <c r="D152" s="5">
        <f>IFERROR(__xludf.DUMMYFUNCTION("""COMPUTED_VALUE"""),9233868.0)</f>
        <v>9233868</v>
      </c>
      <c r="E152" s="5" t="str">
        <f>IFERROR(__xludf.DUMMYFUNCTION("""COMPUTED_VALUE"""),"Chornomorsk")</f>
        <v>Chornomorsk</v>
      </c>
      <c r="F152" s="5" t="str">
        <f>IFERROR(__xludf.DUMMYFUNCTION("""COMPUTED_VALUE"""),"Spain")</f>
        <v>Spain</v>
      </c>
      <c r="G152" s="5" t="str">
        <f>IFERROR(__xludf.DUMMYFUNCTION("""COMPUTED_VALUE"""),"Corn")</f>
        <v>Corn</v>
      </c>
      <c r="H152" s="6">
        <f>IFERROR(__xludf.DUMMYFUNCTION("""COMPUTED_VALUE"""),26946.0)</f>
        <v>26946</v>
      </c>
      <c r="I152" s="7">
        <f>IFERROR(__xludf.DUMMYFUNCTION("""COMPUTED_VALUE"""),45023.0)</f>
        <v>45023</v>
      </c>
      <c r="J152" s="7">
        <f>IFERROR(__xludf.DUMMYFUNCTION("""COMPUTED_VALUE"""),45037.0)</f>
        <v>45037</v>
      </c>
      <c r="K152" s="5" t="str">
        <f>IFERROR(__xludf.DUMMYFUNCTION("""COMPUTED_VALUE"""),"high-income")</f>
        <v>high-income</v>
      </c>
      <c r="L152" s="5" t="str">
        <f>IFERROR(__xludf.DUMMYFUNCTION("""COMPUTED_VALUE"""),"Panama")</f>
        <v>Panama</v>
      </c>
      <c r="M152" s="5" t="str">
        <f>IFERROR(__xludf.DUMMYFUNCTION("""COMPUTED_VALUE"""),"Europe &amp; Central Asia")</f>
        <v>Europe &amp; Central Asia</v>
      </c>
      <c r="N152" s="5" t="str">
        <f>IFERROR(__xludf.DUMMYFUNCTION("""COMPUTED_VALUE"""),"Western Europe and Others")</f>
        <v>Western Europe and Others</v>
      </c>
      <c r="O152" s="5" t="str">
        <f>IFERROR(__xludf.DUMMYFUNCTION("""COMPUTED_VALUE"""),"developed")</f>
        <v>developed</v>
      </c>
      <c r="P152" s="5"/>
      <c r="Q152" s="5"/>
    </row>
    <row r="153">
      <c r="A153" s="5" t="str">
        <f>IFERROR(__xludf.DUMMYFUNCTION("""COMPUTED_VALUE"""),"Outbound")</f>
        <v>Outbound</v>
      </c>
      <c r="B153" s="5">
        <f>IFERROR(__xludf.DUMMYFUNCTION("""COMPUTED_VALUE"""),875.0)</f>
        <v>875</v>
      </c>
      <c r="C153" s="5" t="str">
        <f>IFERROR(__xludf.DUMMYFUNCTION("""COMPUTED_VALUE"""),"CHAMPION TIDE")</f>
        <v>CHAMPION TIDE</v>
      </c>
      <c r="D153" s="5">
        <f>IFERROR(__xludf.DUMMYFUNCTION("""COMPUTED_VALUE"""),9112117.0)</f>
        <v>9112117</v>
      </c>
      <c r="E153" s="5" t="str">
        <f>IFERROR(__xludf.DUMMYFUNCTION("""COMPUTED_VALUE"""),"Chornomorsk")</f>
        <v>Chornomorsk</v>
      </c>
      <c r="F153" s="5" t="str">
        <f>IFERROR(__xludf.DUMMYFUNCTION("""COMPUTED_VALUE"""),"China")</f>
        <v>China</v>
      </c>
      <c r="G153" s="5" t="str">
        <f>IFERROR(__xludf.DUMMYFUNCTION("""COMPUTED_VALUE"""),"Sunflower oil")</f>
        <v>Sunflower oil</v>
      </c>
      <c r="H153" s="6">
        <f>IFERROR(__xludf.DUMMYFUNCTION("""COMPUTED_VALUE"""),40000.0)</f>
        <v>40000</v>
      </c>
      <c r="I153" s="7">
        <f>IFERROR(__xludf.DUMMYFUNCTION("""COMPUTED_VALUE"""),45023.0)</f>
        <v>45023</v>
      </c>
      <c r="J153" s="7">
        <f>IFERROR(__xludf.DUMMYFUNCTION("""COMPUTED_VALUE"""),45036.0)</f>
        <v>45036</v>
      </c>
      <c r="K153" s="5" t="str">
        <f>IFERROR(__xludf.DUMMYFUNCTION("""COMPUTED_VALUE"""),"upper-middle-income")</f>
        <v>upper-middle-income</v>
      </c>
      <c r="L153" s="5" t="str">
        <f>IFERROR(__xludf.DUMMYFUNCTION("""COMPUTED_VALUE"""),"Liberia")</f>
        <v>Liberia</v>
      </c>
      <c r="M153" s="5" t="str">
        <f>IFERROR(__xludf.DUMMYFUNCTION("""COMPUTED_VALUE"""),"East Asia &amp; Pacific")</f>
        <v>East Asia &amp; Pacific</v>
      </c>
      <c r="N153" s="5" t="str">
        <f>IFERROR(__xludf.DUMMYFUNCTION("""COMPUTED_VALUE"""),"Asia-Pacific")</f>
        <v>Asia-Pacific</v>
      </c>
      <c r="O153" s="5" t="str">
        <f>IFERROR(__xludf.DUMMYFUNCTION("""COMPUTED_VALUE"""),"developing")</f>
        <v>developing</v>
      </c>
      <c r="P153" s="5"/>
      <c r="Q153" s="5"/>
    </row>
    <row r="154">
      <c r="A154" s="5" t="str">
        <f>IFERROR(__xludf.DUMMYFUNCTION("""COMPUTED_VALUE"""),"Outbound")</f>
        <v>Outbound</v>
      </c>
      <c r="B154" s="5">
        <f>IFERROR(__xludf.DUMMYFUNCTION("""COMPUTED_VALUE"""),874.0)</f>
        <v>874</v>
      </c>
      <c r="C154" s="5" t="str">
        <f>IFERROR(__xludf.DUMMYFUNCTION("""COMPUTED_VALUE"""),"NEW HORIZON")</f>
        <v>NEW HORIZON</v>
      </c>
      <c r="D154" s="5">
        <f>IFERROR(__xludf.DUMMYFUNCTION("""COMPUTED_VALUE"""),9290701.0)</f>
        <v>9290701</v>
      </c>
      <c r="E154" s="5" t="str">
        <f>IFERROR(__xludf.DUMMYFUNCTION("""COMPUTED_VALUE"""),"Chornomorsk")</f>
        <v>Chornomorsk</v>
      </c>
      <c r="F154" s="5" t="str">
        <f>IFERROR(__xludf.DUMMYFUNCTION("""COMPUTED_VALUE"""),"China")</f>
        <v>China</v>
      </c>
      <c r="G154" s="5" t="str">
        <f>IFERROR(__xludf.DUMMYFUNCTION("""COMPUTED_VALUE"""),"Corn")</f>
        <v>Corn</v>
      </c>
      <c r="H154" s="6">
        <f>IFERROR(__xludf.DUMMYFUNCTION("""COMPUTED_VALUE"""),65897.0)</f>
        <v>65897</v>
      </c>
      <c r="I154" s="7">
        <f>IFERROR(__xludf.DUMMYFUNCTION("""COMPUTED_VALUE"""),45022.0)</f>
        <v>45022</v>
      </c>
      <c r="J154" s="7">
        <f>IFERROR(__xludf.DUMMYFUNCTION("""COMPUTED_VALUE"""),45039.0)</f>
        <v>45039</v>
      </c>
      <c r="K154" s="5" t="str">
        <f>IFERROR(__xludf.DUMMYFUNCTION("""COMPUTED_VALUE"""),"upper-middle-income")</f>
        <v>upper-middle-income</v>
      </c>
      <c r="L154" s="5" t="str">
        <f>IFERROR(__xludf.DUMMYFUNCTION("""COMPUTED_VALUE"""),"Panama")</f>
        <v>Panama</v>
      </c>
      <c r="M154" s="5" t="str">
        <f>IFERROR(__xludf.DUMMYFUNCTION("""COMPUTED_VALUE"""),"East Asia &amp; Pacific")</f>
        <v>East Asia &amp; Pacific</v>
      </c>
      <c r="N154" s="5" t="str">
        <f>IFERROR(__xludf.DUMMYFUNCTION("""COMPUTED_VALUE"""),"Asia-Pacific")</f>
        <v>Asia-Pacific</v>
      </c>
      <c r="O154" s="5" t="str">
        <f>IFERROR(__xludf.DUMMYFUNCTION("""COMPUTED_VALUE"""),"developing")</f>
        <v>developing</v>
      </c>
      <c r="P154" s="5"/>
      <c r="Q154" s="5"/>
    </row>
    <row r="155">
      <c r="A155" s="5" t="str">
        <f>IFERROR(__xludf.DUMMYFUNCTION("""COMPUTED_VALUE"""),"Outbound")</f>
        <v>Outbound</v>
      </c>
      <c r="B155" s="5">
        <f>IFERROR(__xludf.DUMMYFUNCTION("""COMPUTED_VALUE"""),873.0)</f>
        <v>873</v>
      </c>
      <c r="C155" s="5" t="str">
        <f>IFERROR(__xludf.DUMMYFUNCTION("""COMPUTED_VALUE"""),"TQ SAMSUN")</f>
        <v>TQ SAMSUN</v>
      </c>
      <c r="D155" s="5">
        <f>IFERROR(__xludf.DUMMYFUNCTION("""COMPUTED_VALUE"""),9125566.0)</f>
        <v>9125566</v>
      </c>
      <c r="E155" s="5" t="str">
        <f>IFERROR(__xludf.DUMMYFUNCTION("""COMPUTED_VALUE"""),"Yuzhny/Pivdennyi")</f>
        <v>Yuzhny/Pivdennyi</v>
      </c>
      <c r="F155" s="5" t="str">
        <f>IFERROR(__xludf.DUMMYFUNCTION("""COMPUTED_VALUE"""),"Türkiye")</f>
        <v>Türkiye</v>
      </c>
      <c r="G155" s="5" t="str">
        <f>IFERROR(__xludf.DUMMYFUNCTION("""COMPUTED_VALUE"""),"Wheat")</f>
        <v>Wheat</v>
      </c>
      <c r="H155" s="6">
        <f>IFERROR(__xludf.DUMMYFUNCTION("""COMPUTED_VALUE"""),41800.0)</f>
        <v>41800</v>
      </c>
      <c r="I155" s="7">
        <f>IFERROR(__xludf.DUMMYFUNCTION("""COMPUTED_VALUE"""),45020.0)</f>
        <v>45020</v>
      </c>
      <c r="J155" s="7">
        <f>IFERROR(__xludf.DUMMYFUNCTION("""COMPUTED_VALUE"""),45030.0)</f>
        <v>45030</v>
      </c>
      <c r="K155" s="5" t="str">
        <f>IFERROR(__xludf.DUMMYFUNCTION("""COMPUTED_VALUE"""),"upper-middle-income")</f>
        <v>upper-middle-income</v>
      </c>
      <c r="L155" s="5" t="str">
        <f>IFERROR(__xludf.DUMMYFUNCTION("""COMPUTED_VALUE"""),"Türkiye")</f>
        <v>Türkiye</v>
      </c>
      <c r="M155" s="5" t="str">
        <f>IFERROR(__xludf.DUMMYFUNCTION("""COMPUTED_VALUE"""),"Europe &amp; Central Asia")</f>
        <v>Europe &amp; Central Asia</v>
      </c>
      <c r="N155" s="5" t="str">
        <f>IFERROR(__xludf.DUMMYFUNCTION("""COMPUTED_VALUE"""),"Asia-Pacific")</f>
        <v>Asia-Pacific</v>
      </c>
      <c r="O155" s="5" t="str">
        <f>IFERROR(__xludf.DUMMYFUNCTION("""COMPUTED_VALUE"""),"developing")</f>
        <v>developing</v>
      </c>
      <c r="P155" s="5"/>
      <c r="Q155" s="5"/>
    </row>
    <row r="156">
      <c r="A156" s="5" t="str">
        <f>IFERROR(__xludf.DUMMYFUNCTION("""COMPUTED_VALUE"""),"Outbound")</f>
        <v>Outbound</v>
      </c>
      <c r="B156" s="5">
        <f>IFERROR(__xludf.DUMMYFUNCTION("""COMPUTED_VALUE"""),872.0)</f>
        <v>872</v>
      </c>
      <c r="C156" s="5" t="str">
        <f>IFERROR(__xludf.DUMMYFUNCTION("""COMPUTED_VALUE"""),"CAPE SCOTT")</f>
        <v>CAPE SCOTT</v>
      </c>
      <c r="D156" s="5">
        <f>IFERROR(__xludf.DUMMYFUNCTION("""COMPUTED_VALUE"""),9159737.0)</f>
        <v>9159737</v>
      </c>
      <c r="E156" s="5" t="str">
        <f>IFERROR(__xludf.DUMMYFUNCTION("""COMPUTED_VALUE"""),"Odesa")</f>
        <v>Odesa</v>
      </c>
      <c r="F156" s="5" t="str">
        <f>IFERROR(__xludf.DUMMYFUNCTION("""COMPUTED_VALUE"""),"Libya")</f>
        <v>Libya</v>
      </c>
      <c r="G156" s="5" t="str">
        <f>IFERROR(__xludf.DUMMYFUNCTION("""COMPUTED_VALUE"""),"Corn")</f>
        <v>Corn</v>
      </c>
      <c r="H156" s="6">
        <f>IFERROR(__xludf.DUMMYFUNCTION("""COMPUTED_VALUE"""),28000.0)</f>
        <v>28000</v>
      </c>
      <c r="I156" s="7">
        <f>IFERROR(__xludf.DUMMYFUNCTION("""COMPUTED_VALUE"""),45020.0)</f>
        <v>45020</v>
      </c>
      <c r="J156" s="7">
        <f>IFERROR(__xludf.DUMMYFUNCTION("""COMPUTED_VALUE"""),45035.0)</f>
        <v>45035</v>
      </c>
      <c r="K156" s="5" t="str">
        <f>IFERROR(__xludf.DUMMYFUNCTION("""COMPUTED_VALUE"""),"upper-middle-income")</f>
        <v>upper-middle-income</v>
      </c>
      <c r="L156" s="5" t="str">
        <f>IFERROR(__xludf.DUMMYFUNCTION("""COMPUTED_VALUE"""),"Belize")</f>
        <v>Belize</v>
      </c>
      <c r="M156" s="5" t="str">
        <f>IFERROR(__xludf.DUMMYFUNCTION("""COMPUTED_VALUE"""),"Middle East &amp; North Africa")</f>
        <v>Middle East &amp; North Africa</v>
      </c>
      <c r="N156" s="5" t="str">
        <f>IFERROR(__xludf.DUMMYFUNCTION("""COMPUTED_VALUE"""),"Africa")</f>
        <v>Africa</v>
      </c>
      <c r="O156" s="5" t="str">
        <f>IFERROR(__xludf.DUMMYFUNCTION("""COMPUTED_VALUE"""),"developing")</f>
        <v>developing</v>
      </c>
      <c r="P156" s="5"/>
      <c r="Q156" s="5"/>
    </row>
    <row r="157">
      <c r="A157" s="5" t="str">
        <f>IFERROR(__xludf.DUMMYFUNCTION("""COMPUTED_VALUE"""),"Outbound")</f>
        <v>Outbound</v>
      </c>
      <c r="B157" s="5">
        <f>IFERROR(__xludf.DUMMYFUNCTION("""COMPUTED_VALUE"""),871.0)</f>
        <v>871</v>
      </c>
      <c r="C157" s="5" t="str">
        <f>IFERROR(__xludf.DUMMYFUNCTION("""COMPUTED_VALUE"""),"AKSON SERIN")</f>
        <v>AKSON SERIN</v>
      </c>
      <c r="D157" s="5">
        <f>IFERROR(__xludf.DUMMYFUNCTION("""COMPUTED_VALUE"""),9275311.0)</f>
        <v>9275311</v>
      </c>
      <c r="E157" s="5" t="str">
        <f>IFERROR(__xludf.DUMMYFUNCTION("""COMPUTED_VALUE"""),"Chornomorsk")</f>
        <v>Chornomorsk</v>
      </c>
      <c r="F157" s="5" t="str">
        <f>IFERROR(__xludf.DUMMYFUNCTION("""COMPUTED_VALUE"""),"Spain")</f>
        <v>Spain</v>
      </c>
      <c r="G157" s="5" t="str">
        <f>IFERROR(__xludf.DUMMYFUNCTION("""COMPUTED_VALUE"""),"Corn")</f>
        <v>Corn</v>
      </c>
      <c r="H157" s="6">
        <f>IFERROR(__xludf.DUMMYFUNCTION("""COMPUTED_VALUE"""),44000.0)</f>
        <v>44000</v>
      </c>
      <c r="I157" s="7">
        <f>IFERROR(__xludf.DUMMYFUNCTION("""COMPUTED_VALUE"""),45020.0)</f>
        <v>45020</v>
      </c>
      <c r="J157" s="7">
        <f>IFERROR(__xludf.DUMMYFUNCTION("""COMPUTED_VALUE"""),45031.0)</f>
        <v>45031</v>
      </c>
      <c r="K157" s="5" t="str">
        <f>IFERROR(__xludf.DUMMYFUNCTION("""COMPUTED_VALUE"""),"high-income")</f>
        <v>high-income</v>
      </c>
      <c r="L157" s="5" t="str">
        <f>IFERROR(__xludf.DUMMYFUNCTION("""COMPUTED_VALUE"""),"Panama")</f>
        <v>Panama</v>
      </c>
      <c r="M157" s="5" t="str">
        <f>IFERROR(__xludf.DUMMYFUNCTION("""COMPUTED_VALUE"""),"Europe &amp; Central Asia")</f>
        <v>Europe &amp; Central Asia</v>
      </c>
      <c r="N157" s="5" t="str">
        <f>IFERROR(__xludf.DUMMYFUNCTION("""COMPUTED_VALUE"""),"Western Europe and Others")</f>
        <v>Western Europe and Others</v>
      </c>
      <c r="O157" s="5" t="str">
        <f>IFERROR(__xludf.DUMMYFUNCTION("""COMPUTED_VALUE"""),"developed")</f>
        <v>developed</v>
      </c>
      <c r="P157" s="5"/>
      <c r="Q157" s="5"/>
    </row>
    <row r="158">
      <c r="A158" s="5" t="str">
        <f>IFERROR(__xludf.DUMMYFUNCTION("""COMPUTED_VALUE"""),"Outbound")</f>
        <v>Outbound</v>
      </c>
      <c r="B158" s="5">
        <f>IFERROR(__xludf.DUMMYFUNCTION("""COMPUTED_VALUE"""),870.0)</f>
        <v>870</v>
      </c>
      <c r="C158" s="5" t="str">
        <f>IFERROR(__xludf.DUMMYFUNCTION("""COMPUTED_VALUE"""),"ADAM A")</f>
        <v>ADAM A</v>
      </c>
      <c r="D158" s="5">
        <f>IFERROR(__xludf.DUMMYFUNCTION("""COMPUTED_VALUE"""),9114543.0)</f>
        <v>9114543</v>
      </c>
      <c r="E158" s="5" t="str">
        <f>IFERROR(__xludf.DUMMYFUNCTION("""COMPUTED_VALUE"""),"Chornomorsk")</f>
        <v>Chornomorsk</v>
      </c>
      <c r="F158" s="5" t="str">
        <f>IFERROR(__xludf.DUMMYFUNCTION("""COMPUTED_VALUE"""),"Italy")</f>
        <v>Italy</v>
      </c>
      <c r="G158" s="5" t="str">
        <f>IFERROR(__xludf.DUMMYFUNCTION("""COMPUTED_VALUE"""),"Wheat")</f>
        <v>Wheat</v>
      </c>
      <c r="H158" s="6">
        <f>IFERROR(__xludf.DUMMYFUNCTION("""COMPUTED_VALUE"""),27550.0)</f>
        <v>27550</v>
      </c>
      <c r="I158" s="7">
        <f>IFERROR(__xludf.DUMMYFUNCTION("""COMPUTED_VALUE"""),45019.0)</f>
        <v>45019</v>
      </c>
      <c r="J158" s="7">
        <f>IFERROR(__xludf.DUMMYFUNCTION("""COMPUTED_VALUE"""),45031.0)</f>
        <v>45031</v>
      </c>
      <c r="K158" s="5" t="str">
        <f>IFERROR(__xludf.DUMMYFUNCTION("""COMPUTED_VALUE"""),"high-income")</f>
        <v>high-income</v>
      </c>
      <c r="L158" s="5" t="str">
        <f>IFERROR(__xludf.DUMMYFUNCTION("""COMPUTED_VALUE"""),"Palau")</f>
        <v>Palau</v>
      </c>
      <c r="M158" s="5" t="str">
        <f>IFERROR(__xludf.DUMMYFUNCTION("""COMPUTED_VALUE"""),"Europe &amp; Central Asia")</f>
        <v>Europe &amp; Central Asia</v>
      </c>
      <c r="N158" s="5" t="str">
        <f>IFERROR(__xludf.DUMMYFUNCTION("""COMPUTED_VALUE"""),"Western Europe and Others")</f>
        <v>Western Europe and Others</v>
      </c>
      <c r="O158" s="5" t="str">
        <f>IFERROR(__xludf.DUMMYFUNCTION("""COMPUTED_VALUE"""),"developed")</f>
        <v>developed</v>
      </c>
      <c r="P158" s="5"/>
      <c r="Q158" s="5"/>
    </row>
    <row r="159">
      <c r="A159" s="5" t="str">
        <f>IFERROR(__xludf.DUMMYFUNCTION("""COMPUTED_VALUE"""),"Outbound")</f>
        <v>Outbound</v>
      </c>
      <c r="B159" s="5">
        <f>IFERROR(__xludf.DUMMYFUNCTION("""COMPUTED_VALUE"""),869.0)</f>
        <v>869</v>
      </c>
      <c r="C159" s="5" t="str">
        <f>IFERROR(__xludf.DUMMYFUNCTION("""COMPUTED_VALUE"""),"YING HAO 03")</f>
        <v>YING HAO 03</v>
      </c>
      <c r="D159" s="5">
        <f>IFERROR(__xludf.DUMMYFUNCTION("""COMPUTED_VALUE"""),9580481.0)</f>
        <v>9580481</v>
      </c>
      <c r="E159" s="5" t="str">
        <f>IFERROR(__xludf.DUMMYFUNCTION("""COMPUTED_VALUE"""),"Odesa")</f>
        <v>Odesa</v>
      </c>
      <c r="F159" s="5" t="str">
        <f>IFERROR(__xludf.DUMMYFUNCTION("""COMPUTED_VALUE"""),"China")</f>
        <v>China</v>
      </c>
      <c r="G159" s="5" t="str">
        <f>IFERROR(__xludf.DUMMYFUNCTION("""COMPUTED_VALUE"""),"Corn")</f>
        <v>Corn</v>
      </c>
      <c r="H159" s="6">
        <f>IFERROR(__xludf.DUMMYFUNCTION("""COMPUTED_VALUE"""),63000.0)</f>
        <v>63000</v>
      </c>
      <c r="I159" s="7">
        <f>IFERROR(__xludf.DUMMYFUNCTION("""COMPUTED_VALUE"""),45018.0)</f>
        <v>45018</v>
      </c>
      <c r="J159" s="7">
        <f>IFERROR(__xludf.DUMMYFUNCTION("""COMPUTED_VALUE"""),45029.0)</f>
        <v>45029</v>
      </c>
      <c r="K159" s="5" t="str">
        <f>IFERROR(__xludf.DUMMYFUNCTION("""COMPUTED_VALUE"""),"upper-middle-income")</f>
        <v>upper-middle-income</v>
      </c>
      <c r="L159" s="5" t="str">
        <f>IFERROR(__xludf.DUMMYFUNCTION("""COMPUTED_VALUE"""),"China")</f>
        <v>China</v>
      </c>
      <c r="M159" s="5" t="str">
        <f>IFERROR(__xludf.DUMMYFUNCTION("""COMPUTED_VALUE"""),"East Asia &amp; Pacific")</f>
        <v>East Asia &amp; Pacific</v>
      </c>
      <c r="N159" s="5" t="str">
        <f>IFERROR(__xludf.DUMMYFUNCTION("""COMPUTED_VALUE"""),"Asia-Pacific")</f>
        <v>Asia-Pacific</v>
      </c>
      <c r="O159" s="5" t="str">
        <f>IFERROR(__xludf.DUMMYFUNCTION("""COMPUTED_VALUE"""),"developing")</f>
        <v>developing</v>
      </c>
      <c r="P159" s="5"/>
      <c r="Q159" s="5"/>
    </row>
    <row r="160">
      <c r="A160" s="5" t="str">
        <f>IFERROR(__xludf.DUMMYFUNCTION("""COMPUTED_VALUE"""),"Outbound")</f>
        <v>Outbound</v>
      </c>
      <c r="B160" s="5">
        <f>IFERROR(__xludf.DUMMYFUNCTION("""COMPUTED_VALUE"""),868.0)</f>
        <v>868</v>
      </c>
      <c r="C160" s="5" t="str">
        <f>IFERROR(__xludf.DUMMYFUNCTION("""COMPUTED_VALUE"""),"STELIOS B")</f>
        <v>STELIOS B</v>
      </c>
      <c r="D160" s="5">
        <f>IFERROR(__xludf.DUMMYFUNCTION("""COMPUTED_VALUE"""),9452490.0)</f>
        <v>9452490</v>
      </c>
      <c r="E160" s="5" t="str">
        <f>IFERROR(__xludf.DUMMYFUNCTION("""COMPUTED_VALUE"""),"Yuzhny/Pivdennyi")</f>
        <v>Yuzhny/Pivdennyi</v>
      </c>
      <c r="F160" s="5" t="str">
        <f>IFERROR(__xludf.DUMMYFUNCTION("""COMPUTED_VALUE"""),"Bangladesh")</f>
        <v>Bangladesh</v>
      </c>
      <c r="G160" s="5" t="str">
        <f>IFERROR(__xludf.DUMMYFUNCTION("""COMPUTED_VALUE"""),"Wheat")</f>
        <v>Wheat</v>
      </c>
      <c r="H160" s="6">
        <f>IFERROR(__xludf.DUMMYFUNCTION("""COMPUTED_VALUE"""),57065.0)</f>
        <v>57065</v>
      </c>
      <c r="I160" s="7">
        <f>IFERROR(__xludf.DUMMYFUNCTION("""COMPUTED_VALUE"""),45018.0)</f>
        <v>45018</v>
      </c>
      <c r="J160" s="7">
        <f>IFERROR(__xludf.DUMMYFUNCTION("""COMPUTED_VALUE"""),45029.0)</f>
        <v>45029</v>
      </c>
      <c r="K160" s="5" t="str">
        <f>IFERROR(__xludf.DUMMYFUNCTION("""COMPUTED_VALUE"""),"lower-middle income")</f>
        <v>lower-middle income</v>
      </c>
      <c r="L160" s="5" t="str">
        <f>IFERROR(__xludf.DUMMYFUNCTION("""COMPUTED_VALUE"""),"Malta")</f>
        <v>Malta</v>
      </c>
      <c r="M160" s="5" t="str">
        <f>IFERROR(__xludf.DUMMYFUNCTION("""COMPUTED_VALUE"""),"South Asia")</f>
        <v>South Asia</v>
      </c>
      <c r="N160" s="5" t="str">
        <f>IFERROR(__xludf.DUMMYFUNCTION("""COMPUTED_VALUE"""),"Asia-Pacific")</f>
        <v>Asia-Pacific</v>
      </c>
      <c r="O160" s="5" t="str">
        <f>IFERROR(__xludf.DUMMYFUNCTION("""COMPUTED_VALUE"""),"developing")</f>
        <v>developing</v>
      </c>
      <c r="P160" s="5"/>
      <c r="Q160" s="5"/>
    </row>
    <row r="161">
      <c r="A161" s="5" t="str">
        <f>IFERROR(__xludf.DUMMYFUNCTION("""COMPUTED_VALUE"""),"Outbound")</f>
        <v>Outbound</v>
      </c>
      <c r="B161" s="5">
        <f>IFERROR(__xludf.DUMMYFUNCTION("""COMPUTED_VALUE"""),867.0)</f>
        <v>867</v>
      </c>
      <c r="C161" s="5" t="str">
        <f>IFERROR(__xludf.DUMMYFUNCTION("""COMPUTED_VALUE"""),"NAZMI S")</f>
        <v>NAZMI S</v>
      </c>
      <c r="D161" s="5">
        <f>IFERROR(__xludf.DUMMYFUNCTION("""COMPUTED_VALUE"""),9577769.0)</f>
        <v>9577769</v>
      </c>
      <c r="E161" s="5" t="str">
        <f>IFERROR(__xludf.DUMMYFUNCTION("""COMPUTED_VALUE"""),"Odesa")</f>
        <v>Odesa</v>
      </c>
      <c r="F161" s="5" t="str">
        <f>IFERROR(__xludf.DUMMYFUNCTION("""COMPUTED_VALUE"""),"Egypt")</f>
        <v>Egypt</v>
      </c>
      <c r="G161" s="5" t="str">
        <f>IFERROR(__xludf.DUMMYFUNCTION("""COMPUTED_VALUE"""),"Corn")</f>
        <v>Corn</v>
      </c>
      <c r="H161" s="6">
        <f>IFERROR(__xludf.DUMMYFUNCTION("""COMPUTED_VALUE"""),33350.0)</f>
        <v>33350</v>
      </c>
      <c r="I161" s="7">
        <f>IFERROR(__xludf.DUMMYFUNCTION("""COMPUTED_VALUE"""),45018.0)</f>
        <v>45018</v>
      </c>
      <c r="J161" s="7">
        <f>IFERROR(__xludf.DUMMYFUNCTION("""COMPUTED_VALUE"""),45030.0)</f>
        <v>45030</v>
      </c>
      <c r="K161" s="5" t="str">
        <f>IFERROR(__xludf.DUMMYFUNCTION("""COMPUTED_VALUE"""),"lower-middle income")</f>
        <v>lower-middle income</v>
      </c>
      <c r="L161" s="5" t="str">
        <f>IFERROR(__xludf.DUMMYFUNCTION("""COMPUTED_VALUE"""),"Panama")</f>
        <v>Panama</v>
      </c>
      <c r="M161" s="5" t="str">
        <f>IFERROR(__xludf.DUMMYFUNCTION("""COMPUTED_VALUE"""),"Middle East &amp; North Africa")</f>
        <v>Middle East &amp; North Africa</v>
      </c>
      <c r="N161" s="5" t="str">
        <f>IFERROR(__xludf.DUMMYFUNCTION("""COMPUTED_VALUE"""),"Africa")</f>
        <v>Africa</v>
      </c>
      <c r="O161" s="5" t="str">
        <f>IFERROR(__xludf.DUMMYFUNCTION("""COMPUTED_VALUE"""),"developing")</f>
        <v>developing</v>
      </c>
      <c r="P161" s="5"/>
      <c r="Q161" s="5"/>
    </row>
    <row r="162">
      <c r="A162" s="5" t="str">
        <f>IFERROR(__xludf.DUMMYFUNCTION("""COMPUTED_VALUE"""),"Outbound")</f>
        <v>Outbound</v>
      </c>
      <c r="B162" s="5">
        <f>IFERROR(__xludf.DUMMYFUNCTION("""COMPUTED_VALUE"""),866.0)</f>
        <v>866</v>
      </c>
      <c r="C162" s="5" t="str">
        <f>IFERROR(__xludf.DUMMYFUNCTION("""COMPUTED_VALUE"""),"MY LAMA")</f>
        <v>MY LAMA</v>
      </c>
      <c r="D162" s="5">
        <f>IFERROR(__xludf.DUMMYFUNCTION("""COMPUTED_VALUE"""),9339791.0)</f>
        <v>9339791</v>
      </c>
      <c r="E162" s="5" t="str">
        <f>IFERROR(__xludf.DUMMYFUNCTION("""COMPUTED_VALUE"""),"Chornomorsk")</f>
        <v>Chornomorsk</v>
      </c>
      <c r="F162" s="5" t="str">
        <f>IFERROR(__xludf.DUMMYFUNCTION("""COMPUTED_VALUE"""),"Spain")</f>
        <v>Spain</v>
      </c>
      <c r="G162" s="5" t="str">
        <f>IFERROR(__xludf.DUMMYFUNCTION("""COMPUTED_VALUE"""),"Corn")</f>
        <v>Corn</v>
      </c>
      <c r="H162" s="6">
        <f>IFERROR(__xludf.DUMMYFUNCTION("""COMPUTED_VALUE"""),27100.0)</f>
        <v>27100</v>
      </c>
      <c r="I162" s="7">
        <f>IFERROR(__xludf.DUMMYFUNCTION("""COMPUTED_VALUE"""),45018.0)</f>
        <v>45018</v>
      </c>
      <c r="J162" s="7">
        <f>IFERROR(__xludf.DUMMYFUNCTION("""COMPUTED_VALUE"""),45035.0)</f>
        <v>45035</v>
      </c>
      <c r="K162" s="5" t="str">
        <f>IFERROR(__xludf.DUMMYFUNCTION("""COMPUTED_VALUE"""),"high-income")</f>
        <v>high-income</v>
      </c>
      <c r="L162" s="5" t="str">
        <f>IFERROR(__xludf.DUMMYFUNCTION("""COMPUTED_VALUE"""),"Belize")</f>
        <v>Belize</v>
      </c>
      <c r="M162" s="5" t="str">
        <f>IFERROR(__xludf.DUMMYFUNCTION("""COMPUTED_VALUE"""),"Europe &amp; Central Asia")</f>
        <v>Europe &amp; Central Asia</v>
      </c>
      <c r="N162" s="5" t="str">
        <f>IFERROR(__xludf.DUMMYFUNCTION("""COMPUTED_VALUE"""),"Western Europe and Others")</f>
        <v>Western Europe and Others</v>
      </c>
      <c r="O162" s="5" t="str">
        <f>IFERROR(__xludf.DUMMYFUNCTION("""COMPUTED_VALUE"""),"developed")</f>
        <v>developed</v>
      </c>
      <c r="P162" s="5"/>
      <c r="Q162" s="5"/>
    </row>
    <row r="163">
      <c r="A163" s="5" t="str">
        <f>IFERROR(__xludf.DUMMYFUNCTION("""COMPUTED_VALUE"""),"Outbound")</f>
        <v>Outbound</v>
      </c>
      <c r="B163" s="5">
        <f>IFERROR(__xludf.DUMMYFUNCTION("""COMPUTED_VALUE"""),865.0)</f>
        <v>865</v>
      </c>
      <c r="C163" s="5" t="str">
        <f>IFERROR(__xludf.DUMMYFUNCTION("""COMPUTED_VALUE"""),"EVINOS")</f>
        <v>EVINOS</v>
      </c>
      <c r="D163" s="5">
        <f>IFERROR(__xludf.DUMMYFUNCTION("""COMPUTED_VALUE"""),9667928.0)</f>
        <v>9667928</v>
      </c>
      <c r="E163" s="5" t="str">
        <f>IFERROR(__xludf.DUMMYFUNCTION("""COMPUTED_VALUE"""),"Yuzhny/Pivdennyi")</f>
        <v>Yuzhny/Pivdennyi</v>
      </c>
      <c r="F163" s="5" t="str">
        <f>IFERROR(__xludf.DUMMYFUNCTION("""COMPUTED_VALUE"""),"Iraq")</f>
        <v>Iraq</v>
      </c>
      <c r="G163" s="5" t="str">
        <f>IFERROR(__xludf.DUMMYFUNCTION("""COMPUTED_VALUE"""),"Sunflower oil")</f>
        <v>Sunflower oil</v>
      </c>
      <c r="H163" s="6">
        <f>IFERROR(__xludf.DUMMYFUNCTION("""COMPUTED_VALUE"""),45100.0)</f>
        <v>45100</v>
      </c>
      <c r="I163" s="7">
        <f>IFERROR(__xludf.DUMMYFUNCTION("""COMPUTED_VALUE"""),45018.0)</f>
        <v>45018</v>
      </c>
      <c r="J163" s="7">
        <f>IFERROR(__xludf.DUMMYFUNCTION("""COMPUTED_VALUE"""),45029.0)</f>
        <v>45029</v>
      </c>
      <c r="K163" s="5" t="str">
        <f>IFERROR(__xludf.DUMMYFUNCTION("""COMPUTED_VALUE"""),"upper-middle-income")</f>
        <v>upper-middle-income</v>
      </c>
      <c r="L163" s="5" t="str">
        <f>IFERROR(__xludf.DUMMYFUNCTION("""COMPUTED_VALUE"""),"Greece")</f>
        <v>Greece</v>
      </c>
      <c r="M163" s="5" t="str">
        <f>IFERROR(__xludf.DUMMYFUNCTION("""COMPUTED_VALUE"""),"Middle East &amp; North Africa")</f>
        <v>Middle East &amp; North Africa</v>
      </c>
      <c r="N163" s="5" t="str">
        <f>IFERROR(__xludf.DUMMYFUNCTION("""COMPUTED_VALUE"""),"Asia-Pacific")</f>
        <v>Asia-Pacific</v>
      </c>
      <c r="O163" s="5" t="str">
        <f>IFERROR(__xludf.DUMMYFUNCTION("""COMPUTED_VALUE"""),"developing")</f>
        <v>developing</v>
      </c>
      <c r="P163" s="5"/>
      <c r="Q163" s="5"/>
    </row>
    <row r="164">
      <c r="A164" s="5" t="str">
        <f>IFERROR(__xludf.DUMMYFUNCTION("""COMPUTED_VALUE"""),"Outbound")</f>
        <v>Outbound</v>
      </c>
      <c r="B164" s="5">
        <f>IFERROR(__xludf.DUMMYFUNCTION("""COMPUTED_VALUE"""),864.0)</f>
        <v>864</v>
      </c>
      <c r="C164" s="5" t="str">
        <f>IFERROR(__xludf.DUMMYFUNCTION("""COMPUTED_VALUE"""),"IASOS")</f>
        <v>IASOS</v>
      </c>
      <c r="D164" s="5">
        <f>IFERROR(__xludf.DUMMYFUNCTION("""COMPUTED_VALUE"""),9233882.0)</f>
        <v>9233882</v>
      </c>
      <c r="E164" s="5" t="str">
        <f>IFERROR(__xludf.DUMMYFUNCTION("""COMPUTED_VALUE"""),"Yuzhny/Pivdennyi")</f>
        <v>Yuzhny/Pivdennyi</v>
      </c>
      <c r="F164" s="5" t="str">
        <f>IFERROR(__xludf.DUMMYFUNCTION("""COMPUTED_VALUE"""),"Spain")</f>
        <v>Spain</v>
      </c>
      <c r="G164" s="5" t="str">
        <f>IFERROR(__xludf.DUMMYFUNCTION("""COMPUTED_VALUE"""),"Wheat")</f>
        <v>Wheat</v>
      </c>
      <c r="H164" s="6">
        <f>IFERROR(__xludf.DUMMYFUNCTION("""COMPUTED_VALUE"""),34535.0)</f>
        <v>34535</v>
      </c>
      <c r="I164" s="7">
        <f>IFERROR(__xludf.DUMMYFUNCTION("""COMPUTED_VALUE"""),45017.0)</f>
        <v>45017</v>
      </c>
      <c r="J164" s="7">
        <f>IFERROR(__xludf.DUMMYFUNCTION("""COMPUTED_VALUE"""),45029.0)</f>
        <v>45029</v>
      </c>
      <c r="K164" s="5" t="str">
        <f>IFERROR(__xludf.DUMMYFUNCTION("""COMPUTED_VALUE"""),"high-income")</f>
        <v>high-income</v>
      </c>
      <c r="L164" s="5" t="str">
        <f>IFERROR(__xludf.DUMMYFUNCTION("""COMPUTED_VALUE"""),"Türkiye")</f>
        <v>Türkiye</v>
      </c>
      <c r="M164" s="5" t="str">
        <f>IFERROR(__xludf.DUMMYFUNCTION("""COMPUTED_VALUE"""),"Europe &amp; Central Asia")</f>
        <v>Europe &amp; Central Asia</v>
      </c>
      <c r="N164" s="5" t="str">
        <f>IFERROR(__xludf.DUMMYFUNCTION("""COMPUTED_VALUE"""),"Western Europe and Others")</f>
        <v>Western Europe and Others</v>
      </c>
      <c r="O164" s="5" t="str">
        <f>IFERROR(__xludf.DUMMYFUNCTION("""COMPUTED_VALUE"""),"developed")</f>
        <v>developed</v>
      </c>
      <c r="P164" s="5"/>
      <c r="Q164" s="5"/>
    </row>
    <row r="165">
      <c r="A165" s="5" t="str">
        <f>IFERROR(__xludf.DUMMYFUNCTION("""COMPUTED_VALUE"""),"Outbound +")</f>
        <v>Outbound +</v>
      </c>
      <c r="B165" s="5">
        <f>IFERROR(__xludf.DUMMYFUNCTION("""COMPUTED_VALUE"""),864.0)</f>
        <v>864</v>
      </c>
      <c r="C165" s="5" t="str">
        <f>IFERROR(__xludf.DUMMYFUNCTION("""COMPUTED_VALUE"""),"IASOS")</f>
        <v>IASOS</v>
      </c>
      <c r="D165" s="5">
        <f>IFERROR(__xludf.DUMMYFUNCTION("""COMPUTED_VALUE"""),9233882.0)</f>
        <v>9233882</v>
      </c>
      <c r="E165" s="5" t="str">
        <f>IFERROR(__xludf.DUMMYFUNCTION("""COMPUTED_VALUE"""),"Yuzhny/Pivdennyi")</f>
        <v>Yuzhny/Pivdennyi</v>
      </c>
      <c r="F165" s="5" t="str">
        <f>IFERROR(__xludf.DUMMYFUNCTION("""COMPUTED_VALUE"""),"Spain")</f>
        <v>Spain</v>
      </c>
      <c r="G165" s="5" t="str">
        <f>IFERROR(__xludf.DUMMYFUNCTION("""COMPUTED_VALUE"""),"Corn")</f>
        <v>Corn</v>
      </c>
      <c r="H165" s="6">
        <f>IFERROR(__xludf.DUMMYFUNCTION("""COMPUTED_VALUE"""),10000.0)</f>
        <v>10000</v>
      </c>
      <c r="I165" s="7">
        <f>IFERROR(__xludf.DUMMYFUNCTION("""COMPUTED_VALUE"""),45017.0)</f>
        <v>45017</v>
      </c>
      <c r="J165" s="7">
        <f>IFERROR(__xludf.DUMMYFUNCTION("""COMPUTED_VALUE"""),45029.0)</f>
        <v>45029</v>
      </c>
      <c r="K165" s="5" t="str">
        <f>IFERROR(__xludf.DUMMYFUNCTION("""COMPUTED_VALUE"""),"high-income")</f>
        <v>high-income</v>
      </c>
      <c r="L165" s="5" t="str">
        <f>IFERROR(__xludf.DUMMYFUNCTION("""COMPUTED_VALUE"""),"Türkiye")</f>
        <v>Türkiye</v>
      </c>
      <c r="M165" s="5" t="str">
        <f>IFERROR(__xludf.DUMMYFUNCTION("""COMPUTED_VALUE"""),"Europe &amp; Central Asia")</f>
        <v>Europe &amp; Central Asia</v>
      </c>
      <c r="N165" s="5" t="str">
        <f>IFERROR(__xludf.DUMMYFUNCTION("""COMPUTED_VALUE"""),"Western Europe and Others")</f>
        <v>Western Europe and Others</v>
      </c>
      <c r="O165" s="5" t="str">
        <f>IFERROR(__xludf.DUMMYFUNCTION("""COMPUTED_VALUE"""),"developed")</f>
        <v>developed</v>
      </c>
      <c r="P165" s="5"/>
      <c r="Q165" s="5"/>
    </row>
    <row r="166">
      <c r="A166" s="5" t="str">
        <f>IFERROR(__xludf.DUMMYFUNCTION("""COMPUTED_VALUE"""),"Outbound")</f>
        <v>Outbound</v>
      </c>
      <c r="B166" s="5">
        <f>IFERROR(__xludf.DUMMYFUNCTION("""COMPUTED_VALUE"""),863.0)</f>
        <v>863</v>
      </c>
      <c r="C166" s="5" t="str">
        <f>IFERROR(__xludf.DUMMYFUNCTION("""COMPUTED_VALUE"""),"MENTOR")</f>
        <v>MENTOR</v>
      </c>
      <c r="D166" s="5">
        <f>IFERROR(__xludf.DUMMYFUNCTION("""COMPUTED_VALUE"""),9340374.0)</f>
        <v>9340374</v>
      </c>
      <c r="E166" s="5" t="str">
        <f>IFERROR(__xludf.DUMMYFUNCTION("""COMPUTED_VALUE"""),"Odesa")</f>
        <v>Odesa</v>
      </c>
      <c r="F166" s="5" t="str">
        <f>IFERROR(__xludf.DUMMYFUNCTION("""COMPUTED_VALUE"""),"Italy")</f>
        <v>Italy</v>
      </c>
      <c r="G166" s="5" t="str">
        <f>IFERROR(__xludf.DUMMYFUNCTION("""COMPUTED_VALUE"""),"Sunflower oil")</f>
        <v>Sunflower oil</v>
      </c>
      <c r="H166" s="6">
        <f>IFERROR(__xludf.DUMMYFUNCTION("""COMPUTED_VALUE"""),10400.0)</f>
        <v>10400</v>
      </c>
      <c r="I166" s="7">
        <f>IFERROR(__xludf.DUMMYFUNCTION("""COMPUTED_VALUE"""),45017.0)</f>
        <v>45017</v>
      </c>
      <c r="J166" s="7">
        <f>IFERROR(__xludf.DUMMYFUNCTION("""COMPUTED_VALUE"""),45026.0)</f>
        <v>45026</v>
      </c>
      <c r="K166" s="5" t="str">
        <f>IFERROR(__xludf.DUMMYFUNCTION("""COMPUTED_VALUE"""),"high-income")</f>
        <v>high-income</v>
      </c>
      <c r="L166" s="5" t="str">
        <f>IFERROR(__xludf.DUMMYFUNCTION("""COMPUTED_VALUE"""),"Marshall Islands")</f>
        <v>Marshall Islands</v>
      </c>
      <c r="M166" s="5" t="str">
        <f>IFERROR(__xludf.DUMMYFUNCTION("""COMPUTED_VALUE"""),"Europe &amp; Central Asia")</f>
        <v>Europe &amp; Central Asia</v>
      </c>
      <c r="N166" s="5" t="str">
        <f>IFERROR(__xludf.DUMMYFUNCTION("""COMPUTED_VALUE"""),"Western Europe and Others")</f>
        <v>Western Europe and Others</v>
      </c>
      <c r="O166" s="5" t="str">
        <f>IFERROR(__xludf.DUMMYFUNCTION("""COMPUTED_VALUE"""),"developed")</f>
        <v>developed</v>
      </c>
      <c r="P166" s="5"/>
      <c r="Q166" s="5"/>
    </row>
    <row r="167">
      <c r="A167" s="5" t="str">
        <f>IFERROR(__xludf.DUMMYFUNCTION("""COMPUTED_VALUE"""),"Outbound")</f>
        <v>Outbound</v>
      </c>
      <c r="B167" s="5">
        <f>IFERROR(__xludf.DUMMYFUNCTION("""COMPUTED_VALUE"""),862.0)</f>
        <v>862</v>
      </c>
      <c r="C167" s="5" t="str">
        <f>IFERROR(__xludf.DUMMYFUNCTION("""COMPUTED_VALUE"""),"MAGNUM")</f>
        <v>MAGNUM</v>
      </c>
      <c r="D167" s="5">
        <f>IFERROR(__xludf.DUMMYFUNCTION("""COMPUTED_VALUE"""),9266918.0)</f>
        <v>9266918</v>
      </c>
      <c r="E167" s="5" t="str">
        <f>IFERROR(__xludf.DUMMYFUNCTION("""COMPUTED_VALUE"""),"Chornomorsk")</f>
        <v>Chornomorsk</v>
      </c>
      <c r="F167" s="5" t="str">
        <f>IFERROR(__xludf.DUMMYFUNCTION("""COMPUTED_VALUE"""),"Egypt")</f>
        <v>Egypt</v>
      </c>
      <c r="G167" s="5" t="str">
        <f>IFERROR(__xludf.DUMMYFUNCTION("""COMPUTED_VALUE"""),"Wheat")</f>
        <v>Wheat</v>
      </c>
      <c r="H167" s="6">
        <f>IFERROR(__xludf.DUMMYFUNCTION("""COMPUTED_VALUE"""),31500.0)</f>
        <v>31500</v>
      </c>
      <c r="I167" s="7">
        <f>IFERROR(__xludf.DUMMYFUNCTION("""COMPUTED_VALUE"""),45017.0)</f>
        <v>45017</v>
      </c>
      <c r="J167" s="7">
        <f>IFERROR(__xludf.DUMMYFUNCTION("""COMPUTED_VALUE"""),45033.0)</f>
        <v>45033</v>
      </c>
      <c r="K167" s="5" t="str">
        <f>IFERROR(__xludf.DUMMYFUNCTION("""COMPUTED_VALUE"""),"lower-middle income")</f>
        <v>lower-middle income</v>
      </c>
      <c r="L167" s="5" t="str">
        <f>IFERROR(__xludf.DUMMYFUNCTION("""COMPUTED_VALUE"""),"Panama")</f>
        <v>Panama</v>
      </c>
      <c r="M167" s="5" t="str">
        <f>IFERROR(__xludf.DUMMYFUNCTION("""COMPUTED_VALUE"""),"Middle East &amp; North Africa")</f>
        <v>Middle East &amp; North Africa</v>
      </c>
      <c r="N167" s="5" t="str">
        <f>IFERROR(__xludf.DUMMYFUNCTION("""COMPUTED_VALUE"""),"Africa")</f>
        <v>Africa</v>
      </c>
      <c r="O167" s="5" t="str">
        <f>IFERROR(__xludf.DUMMYFUNCTION("""COMPUTED_VALUE"""),"developing")</f>
        <v>developing</v>
      </c>
      <c r="P167" s="5"/>
      <c r="Q167" s="5"/>
    </row>
    <row r="168">
      <c r="A168" s="5" t="str">
        <f>IFERROR(__xludf.DUMMYFUNCTION("""COMPUTED_VALUE"""),"Outbound")</f>
        <v>Outbound</v>
      </c>
      <c r="B168" s="5">
        <f>IFERROR(__xludf.DUMMYFUNCTION("""COMPUTED_VALUE"""),861.0)</f>
        <v>861</v>
      </c>
      <c r="C168" s="5" t="str">
        <f>IFERROR(__xludf.DUMMYFUNCTION("""COMPUTED_VALUE"""),"SWORD LION")</f>
        <v>SWORD LION</v>
      </c>
      <c r="D168" s="5">
        <f>IFERROR(__xludf.DUMMYFUNCTION("""COMPUTED_VALUE"""),9136785.0)</f>
        <v>9136785</v>
      </c>
      <c r="E168" s="5" t="str">
        <f>IFERROR(__xludf.DUMMYFUNCTION("""COMPUTED_VALUE"""),"Odesa")</f>
        <v>Odesa</v>
      </c>
      <c r="F168" s="5" t="str">
        <f>IFERROR(__xludf.DUMMYFUNCTION("""COMPUTED_VALUE"""),"Türkiye")</f>
        <v>Türkiye</v>
      </c>
      <c r="G168" s="5" t="str">
        <f>IFERROR(__xludf.DUMMYFUNCTION("""COMPUTED_VALUE"""),"Wheat")</f>
        <v>Wheat</v>
      </c>
      <c r="H168" s="6">
        <f>IFERROR(__xludf.DUMMYFUNCTION("""COMPUTED_VALUE"""),26250.0)</f>
        <v>26250</v>
      </c>
      <c r="I168" s="7">
        <f>IFERROR(__xludf.DUMMYFUNCTION("""COMPUTED_VALUE"""),45016.0)</f>
        <v>45016</v>
      </c>
      <c r="J168" s="7">
        <f>IFERROR(__xludf.DUMMYFUNCTION("""COMPUTED_VALUE"""),45026.0)</f>
        <v>45026</v>
      </c>
      <c r="K168" s="5" t="str">
        <f>IFERROR(__xludf.DUMMYFUNCTION("""COMPUTED_VALUE"""),"upper-middle-income")</f>
        <v>upper-middle-income</v>
      </c>
      <c r="L168" s="5" t="str">
        <f>IFERROR(__xludf.DUMMYFUNCTION("""COMPUTED_VALUE"""),"Türkiye")</f>
        <v>Türkiye</v>
      </c>
      <c r="M168" s="5" t="str">
        <f>IFERROR(__xludf.DUMMYFUNCTION("""COMPUTED_VALUE"""),"Europe &amp; Central Asia")</f>
        <v>Europe &amp; Central Asia</v>
      </c>
      <c r="N168" s="5" t="str">
        <f>IFERROR(__xludf.DUMMYFUNCTION("""COMPUTED_VALUE"""),"Asia-Pacific")</f>
        <v>Asia-Pacific</v>
      </c>
      <c r="O168" s="5" t="str">
        <f>IFERROR(__xludf.DUMMYFUNCTION("""COMPUTED_VALUE"""),"developing")</f>
        <v>developing</v>
      </c>
      <c r="P168" s="5"/>
      <c r="Q168" s="5"/>
    </row>
    <row r="169">
      <c r="A169" s="5" t="str">
        <f>IFERROR(__xludf.DUMMYFUNCTION("""COMPUTED_VALUE"""),"Outbound")</f>
        <v>Outbound</v>
      </c>
      <c r="B169" s="5">
        <f>IFERROR(__xludf.DUMMYFUNCTION("""COMPUTED_VALUE"""),860.0)</f>
        <v>860</v>
      </c>
      <c r="C169" s="5" t="str">
        <f>IFERROR(__xludf.DUMMYFUNCTION("""COMPUTED_VALUE"""),"GALAXY")</f>
        <v>GALAXY</v>
      </c>
      <c r="D169" s="5">
        <f>IFERROR(__xludf.DUMMYFUNCTION("""COMPUTED_VALUE"""),9287156.0)</f>
        <v>9287156</v>
      </c>
      <c r="E169" s="5" t="str">
        <f>IFERROR(__xludf.DUMMYFUNCTION("""COMPUTED_VALUE"""),"Odesa")</f>
        <v>Odesa</v>
      </c>
      <c r="F169" s="5" t="str">
        <f>IFERROR(__xludf.DUMMYFUNCTION("""COMPUTED_VALUE"""),"Egypt")</f>
        <v>Egypt</v>
      </c>
      <c r="G169" s="5" t="str">
        <f>IFERROR(__xludf.DUMMYFUNCTION("""COMPUTED_VALUE"""),"Corn")</f>
        <v>Corn</v>
      </c>
      <c r="H169" s="6">
        <f>IFERROR(__xludf.DUMMYFUNCTION("""COMPUTED_VALUE"""),49236.0)</f>
        <v>49236</v>
      </c>
      <c r="I169" s="7">
        <f>IFERROR(__xludf.DUMMYFUNCTION("""COMPUTED_VALUE"""),45016.0)</f>
        <v>45016</v>
      </c>
      <c r="J169" s="7">
        <f>IFERROR(__xludf.DUMMYFUNCTION("""COMPUTED_VALUE"""),45026.0)</f>
        <v>45026</v>
      </c>
      <c r="K169" s="5" t="str">
        <f>IFERROR(__xludf.DUMMYFUNCTION("""COMPUTED_VALUE"""),"lower-middle income")</f>
        <v>lower-middle income</v>
      </c>
      <c r="L169" s="5" t="str">
        <f>IFERROR(__xludf.DUMMYFUNCTION("""COMPUTED_VALUE"""),"Panama")</f>
        <v>Panama</v>
      </c>
      <c r="M169" s="5" t="str">
        <f>IFERROR(__xludf.DUMMYFUNCTION("""COMPUTED_VALUE"""),"Middle East &amp; North Africa")</f>
        <v>Middle East &amp; North Africa</v>
      </c>
      <c r="N169" s="5" t="str">
        <f>IFERROR(__xludf.DUMMYFUNCTION("""COMPUTED_VALUE"""),"Africa")</f>
        <v>Africa</v>
      </c>
      <c r="O169" s="5" t="str">
        <f>IFERROR(__xludf.DUMMYFUNCTION("""COMPUTED_VALUE"""),"developing")</f>
        <v>developing</v>
      </c>
      <c r="P169" s="5"/>
      <c r="Q169" s="5"/>
    </row>
    <row r="170">
      <c r="A170" s="5" t="str">
        <f>IFERROR(__xludf.DUMMYFUNCTION("""COMPUTED_VALUE"""),"Outbound")</f>
        <v>Outbound</v>
      </c>
      <c r="B170" s="5">
        <f>IFERROR(__xludf.DUMMYFUNCTION("""COMPUTED_VALUE"""),859.0)</f>
        <v>859</v>
      </c>
      <c r="C170" s="5" t="str">
        <f>IFERROR(__xludf.DUMMYFUNCTION("""COMPUTED_VALUE"""),"ESNA")</f>
        <v>ESNA</v>
      </c>
      <c r="D170" s="5">
        <f>IFERROR(__xludf.DUMMYFUNCTION("""COMPUTED_VALUE"""),9139268.0)</f>
        <v>9139268</v>
      </c>
      <c r="E170" s="5" t="str">
        <f>IFERROR(__xludf.DUMMYFUNCTION("""COMPUTED_VALUE"""),"Chornomorsk")</f>
        <v>Chornomorsk</v>
      </c>
      <c r="F170" s="5" t="str">
        <f>IFERROR(__xludf.DUMMYFUNCTION("""COMPUTED_VALUE"""),"China")</f>
        <v>China</v>
      </c>
      <c r="G170" s="5" t="str">
        <f>IFERROR(__xludf.DUMMYFUNCTION("""COMPUTED_VALUE"""),"Corn")</f>
        <v>Corn</v>
      </c>
      <c r="H170" s="6">
        <f>IFERROR(__xludf.DUMMYFUNCTION("""COMPUTED_VALUE"""),61516.0)</f>
        <v>61516</v>
      </c>
      <c r="I170" s="7">
        <f>IFERROR(__xludf.DUMMYFUNCTION("""COMPUTED_VALUE"""),45016.0)</f>
        <v>45016</v>
      </c>
      <c r="J170" s="7">
        <f>IFERROR(__xludf.DUMMYFUNCTION("""COMPUTED_VALUE"""),45026.0)</f>
        <v>45026</v>
      </c>
      <c r="K170" s="5" t="str">
        <f>IFERROR(__xludf.DUMMYFUNCTION("""COMPUTED_VALUE"""),"upper-middle-income")</f>
        <v>upper-middle-income</v>
      </c>
      <c r="L170" s="5" t="str">
        <f>IFERROR(__xludf.DUMMYFUNCTION("""COMPUTED_VALUE"""),"Egypt")</f>
        <v>Egypt</v>
      </c>
      <c r="M170" s="5" t="str">
        <f>IFERROR(__xludf.DUMMYFUNCTION("""COMPUTED_VALUE"""),"East Asia &amp; Pacific")</f>
        <v>East Asia &amp; Pacific</v>
      </c>
      <c r="N170" s="5" t="str">
        <f>IFERROR(__xludf.DUMMYFUNCTION("""COMPUTED_VALUE"""),"Asia-Pacific")</f>
        <v>Asia-Pacific</v>
      </c>
      <c r="O170" s="5" t="str">
        <f>IFERROR(__xludf.DUMMYFUNCTION("""COMPUTED_VALUE"""),"developing")</f>
        <v>developing</v>
      </c>
      <c r="P170" s="5"/>
      <c r="Q170" s="5"/>
    </row>
    <row r="171">
      <c r="A171" s="5" t="str">
        <f>IFERROR(__xludf.DUMMYFUNCTION("""COMPUTED_VALUE"""),"Outbound")</f>
        <v>Outbound</v>
      </c>
      <c r="B171" s="5">
        <f>IFERROR(__xludf.DUMMYFUNCTION("""COMPUTED_VALUE"""),858.0)</f>
        <v>858</v>
      </c>
      <c r="C171" s="5" t="str">
        <f>IFERROR(__xludf.DUMMYFUNCTION("""COMPUTED_VALUE"""),"SANITA S")</f>
        <v>SANITA S</v>
      </c>
      <c r="D171" s="5">
        <f>IFERROR(__xludf.DUMMYFUNCTION("""COMPUTED_VALUE"""),9237888.0)</f>
        <v>9237888</v>
      </c>
      <c r="E171" s="5" t="str">
        <f>IFERROR(__xludf.DUMMYFUNCTION("""COMPUTED_VALUE"""),"Chornomorsk")</f>
        <v>Chornomorsk</v>
      </c>
      <c r="F171" s="5" t="str">
        <f>IFERROR(__xludf.DUMMYFUNCTION("""COMPUTED_VALUE"""),"Spain")</f>
        <v>Spain</v>
      </c>
      <c r="G171" s="5" t="str">
        <f>IFERROR(__xludf.DUMMYFUNCTION("""COMPUTED_VALUE"""),"Corn")</f>
        <v>Corn</v>
      </c>
      <c r="H171" s="6">
        <f>IFERROR(__xludf.DUMMYFUNCTION("""COMPUTED_VALUE"""),40500.0)</f>
        <v>40500</v>
      </c>
      <c r="I171" s="7">
        <f>IFERROR(__xludf.DUMMYFUNCTION("""COMPUTED_VALUE"""),45015.0)</f>
        <v>45015</v>
      </c>
      <c r="J171" s="7">
        <f>IFERROR(__xludf.DUMMYFUNCTION("""COMPUTED_VALUE"""),45023.0)</f>
        <v>45023</v>
      </c>
      <c r="K171" s="5" t="str">
        <f>IFERROR(__xludf.DUMMYFUNCTION("""COMPUTED_VALUE"""),"high-income")</f>
        <v>high-income</v>
      </c>
      <c r="L171" s="5" t="str">
        <f>IFERROR(__xludf.DUMMYFUNCTION("""COMPUTED_VALUE"""),"Türkiye")</f>
        <v>Türkiye</v>
      </c>
      <c r="M171" s="5" t="str">
        <f>IFERROR(__xludf.DUMMYFUNCTION("""COMPUTED_VALUE"""),"Europe &amp; Central Asia")</f>
        <v>Europe &amp; Central Asia</v>
      </c>
      <c r="N171" s="5" t="str">
        <f>IFERROR(__xludf.DUMMYFUNCTION("""COMPUTED_VALUE"""),"Western Europe and Others")</f>
        <v>Western Europe and Others</v>
      </c>
      <c r="O171" s="5" t="str">
        <f>IFERROR(__xludf.DUMMYFUNCTION("""COMPUTED_VALUE"""),"developed")</f>
        <v>developed</v>
      </c>
      <c r="P171" s="5"/>
      <c r="Q171" s="5"/>
    </row>
    <row r="172">
      <c r="A172" s="5" t="str">
        <f>IFERROR(__xludf.DUMMYFUNCTION("""COMPUTED_VALUE"""),"Outbound")</f>
        <v>Outbound</v>
      </c>
      <c r="B172" s="5">
        <f>IFERROR(__xludf.DUMMYFUNCTION("""COMPUTED_VALUE"""),857.0)</f>
        <v>857</v>
      </c>
      <c r="C172" s="5" t="str">
        <f>IFERROR(__xludf.DUMMYFUNCTION("""COMPUTED_VALUE"""),"PS QUEEN")</f>
        <v>PS QUEEN</v>
      </c>
      <c r="D172" s="5">
        <f>IFERROR(__xludf.DUMMYFUNCTION("""COMPUTED_VALUE"""),9358319.0)</f>
        <v>9358319</v>
      </c>
      <c r="E172" s="5" t="str">
        <f>IFERROR(__xludf.DUMMYFUNCTION("""COMPUTED_VALUE"""),"Yuzhny/Pivdennyi")</f>
        <v>Yuzhny/Pivdennyi</v>
      </c>
      <c r="F172" s="5" t="str">
        <f>IFERROR(__xludf.DUMMYFUNCTION("""COMPUTED_VALUE"""),"India")</f>
        <v>India</v>
      </c>
      <c r="G172" s="5" t="str">
        <f>IFERROR(__xludf.DUMMYFUNCTION("""COMPUTED_VALUE"""),"Sunflower oil")</f>
        <v>Sunflower oil</v>
      </c>
      <c r="H172" s="6">
        <f>IFERROR(__xludf.DUMMYFUNCTION("""COMPUTED_VALUE"""),42000.0)</f>
        <v>42000</v>
      </c>
      <c r="I172" s="7">
        <f>IFERROR(__xludf.DUMMYFUNCTION("""COMPUTED_VALUE"""),45015.0)</f>
        <v>45015</v>
      </c>
      <c r="J172" s="7">
        <f>IFERROR(__xludf.DUMMYFUNCTION("""COMPUTED_VALUE"""),45025.0)</f>
        <v>45025</v>
      </c>
      <c r="K172" s="5" t="str">
        <f>IFERROR(__xludf.DUMMYFUNCTION("""COMPUTED_VALUE"""),"lower-middle income")</f>
        <v>lower-middle income</v>
      </c>
      <c r="L172" s="5" t="str">
        <f>IFERROR(__xludf.DUMMYFUNCTION("""COMPUTED_VALUE"""),"Panama")</f>
        <v>Panama</v>
      </c>
      <c r="M172" s="5" t="str">
        <f>IFERROR(__xludf.DUMMYFUNCTION("""COMPUTED_VALUE"""),"South Asia")</f>
        <v>South Asia</v>
      </c>
      <c r="N172" s="5" t="str">
        <f>IFERROR(__xludf.DUMMYFUNCTION("""COMPUTED_VALUE"""),"Asia-Pacific")</f>
        <v>Asia-Pacific</v>
      </c>
      <c r="O172" s="5" t="str">
        <f>IFERROR(__xludf.DUMMYFUNCTION("""COMPUTED_VALUE"""),"developing")</f>
        <v>developing</v>
      </c>
      <c r="P172" s="5"/>
      <c r="Q172" s="5"/>
    </row>
    <row r="173">
      <c r="A173" s="5" t="str">
        <f>IFERROR(__xludf.DUMMYFUNCTION("""COMPUTED_VALUE"""),"Outbound")</f>
        <v>Outbound</v>
      </c>
      <c r="B173" s="5">
        <f>IFERROR(__xludf.DUMMYFUNCTION("""COMPUTED_VALUE"""),856.0)</f>
        <v>856</v>
      </c>
      <c r="C173" s="5" t="str">
        <f>IFERROR(__xludf.DUMMYFUNCTION("""COMPUTED_VALUE"""),"MISS LAILA")</f>
        <v>MISS LAILA</v>
      </c>
      <c r="D173" s="5">
        <f>IFERROR(__xludf.DUMMYFUNCTION("""COMPUTED_VALUE"""),9175913.0)</f>
        <v>9175913</v>
      </c>
      <c r="E173" s="5" t="str">
        <f>IFERROR(__xludf.DUMMYFUNCTION("""COMPUTED_VALUE"""),"Odesa")</f>
        <v>Odesa</v>
      </c>
      <c r="F173" s="5" t="str">
        <f>IFERROR(__xludf.DUMMYFUNCTION("""COMPUTED_VALUE"""),"Italy")</f>
        <v>Italy</v>
      </c>
      <c r="G173" s="5" t="str">
        <f>IFERROR(__xludf.DUMMYFUNCTION("""COMPUTED_VALUE"""),"Corn")</f>
        <v>Corn</v>
      </c>
      <c r="H173" s="6">
        <f>IFERROR(__xludf.DUMMYFUNCTION("""COMPUTED_VALUE"""),22000.0)</f>
        <v>22000</v>
      </c>
      <c r="I173" s="7">
        <f>IFERROR(__xludf.DUMMYFUNCTION("""COMPUTED_VALUE"""),45015.0)</f>
        <v>45015</v>
      </c>
      <c r="J173" s="7">
        <f>IFERROR(__xludf.DUMMYFUNCTION("""COMPUTED_VALUE"""),45024.0)</f>
        <v>45024</v>
      </c>
      <c r="K173" s="5" t="str">
        <f>IFERROR(__xludf.DUMMYFUNCTION("""COMPUTED_VALUE"""),"high-income")</f>
        <v>high-income</v>
      </c>
      <c r="L173" s="5" t="str">
        <f>IFERROR(__xludf.DUMMYFUNCTION("""COMPUTED_VALUE"""),"Palau")</f>
        <v>Palau</v>
      </c>
      <c r="M173" s="5" t="str">
        <f>IFERROR(__xludf.DUMMYFUNCTION("""COMPUTED_VALUE"""),"Europe &amp; Central Asia")</f>
        <v>Europe &amp; Central Asia</v>
      </c>
      <c r="N173" s="5" t="str">
        <f>IFERROR(__xludf.DUMMYFUNCTION("""COMPUTED_VALUE"""),"Western Europe and Others")</f>
        <v>Western Europe and Others</v>
      </c>
      <c r="O173" s="5" t="str">
        <f>IFERROR(__xludf.DUMMYFUNCTION("""COMPUTED_VALUE"""),"developed")</f>
        <v>developed</v>
      </c>
      <c r="P173" s="5"/>
      <c r="Q173" s="5"/>
    </row>
    <row r="174">
      <c r="A174" s="5" t="str">
        <f>IFERROR(__xludf.DUMMYFUNCTION("""COMPUTED_VALUE"""),"Outbound")</f>
        <v>Outbound</v>
      </c>
      <c r="B174" s="5">
        <f>IFERROR(__xludf.DUMMYFUNCTION("""COMPUTED_VALUE"""),855.0)</f>
        <v>855</v>
      </c>
      <c r="C174" s="5" t="str">
        <f>IFERROR(__xludf.DUMMYFUNCTION("""COMPUTED_VALUE"""),"XIN YU")</f>
        <v>XIN YU</v>
      </c>
      <c r="D174" s="5">
        <f>IFERROR(__xludf.DUMMYFUNCTION("""COMPUTED_VALUE"""),9244362.0)</f>
        <v>9244362</v>
      </c>
      <c r="E174" s="5" t="str">
        <f>IFERROR(__xludf.DUMMYFUNCTION("""COMPUTED_VALUE"""),"Chornomorsk")</f>
        <v>Chornomorsk</v>
      </c>
      <c r="F174" s="5" t="str">
        <f>IFERROR(__xludf.DUMMYFUNCTION("""COMPUTED_VALUE"""),"Spain")</f>
        <v>Spain</v>
      </c>
      <c r="G174" s="5" t="str">
        <f>IFERROR(__xludf.DUMMYFUNCTION("""COMPUTED_VALUE"""),"Corn")</f>
        <v>Corn</v>
      </c>
      <c r="H174" s="6">
        <f>IFERROR(__xludf.DUMMYFUNCTION("""COMPUTED_VALUE"""),27671.0)</f>
        <v>27671</v>
      </c>
      <c r="I174" s="7">
        <f>IFERROR(__xludf.DUMMYFUNCTION("""COMPUTED_VALUE"""),45014.0)</f>
        <v>45014</v>
      </c>
      <c r="J174" s="7">
        <f>IFERROR(__xludf.DUMMYFUNCTION("""COMPUTED_VALUE"""),45024.0)</f>
        <v>45024</v>
      </c>
      <c r="K174" s="5" t="str">
        <f>IFERROR(__xludf.DUMMYFUNCTION("""COMPUTED_VALUE"""),"high-income")</f>
        <v>high-income</v>
      </c>
      <c r="L174" s="5" t="str">
        <f>IFERROR(__xludf.DUMMYFUNCTION("""COMPUTED_VALUE"""),"Hong-Kong")</f>
        <v>Hong-Kong</v>
      </c>
      <c r="M174" s="5" t="str">
        <f>IFERROR(__xludf.DUMMYFUNCTION("""COMPUTED_VALUE"""),"Europe &amp; Central Asia")</f>
        <v>Europe &amp; Central Asia</v>
      </c>
      <c r="N174" s="5" t="str">
        <f>IFERROR(__xludf.DUMMYFUNCTION("""COMPUTED_VALUE"""),"Western Europe and Others")</f>
        <v>Western Europe and Others</v>
      </c>
      <c r="O174" s="5" t="str">
        <f>IFERROR(__xludf.DUMMYFUNCTION("""COMPUTED_VALUE"""),"developed")</f>
        <v>developed</v>
      </c>
      <c r="P174" s="5"/>
      <c r="Q174" s="5"/>
    </row>
    <row r="175">
      <c r="A175" s="5" t="str">
        <f>IFERROR(__xludf.DUMMYFUNCTION("""COMPUTED_VALUE"""),"Outbound +")</f>
        <v>Outbound +</v>
      </c>
      <c r="B175" s="5">
        <f>IFERROR(__xludf.DUMMYFUNCTION("""COMPUTED_VALUE"""),855.0)</f>
        <v>855</v>
      </c>
      <c r="C175" s="5" t="str">
        <f>IFERROR(__xludf.DUMMYFUNCTION("""COMPUTED_VALUE"""),"XIN YU")</f>
        <v>XIN YU</v>
      </c>
      <c r="D175" s="5">
        <f>IFERROR(__xludf.DUMMYFUNCTION("""COMPUTED_VALUE"""),9244362.0)</f>
        <v>9244362</v>
      </c>
      <c r="E175" s="5" t="str">
        <f>IFERROR(__xludf.DUMMYFUNCTION("""COMPUTED_VALUE"""),"Chornomorsk")</f>
        <v>Chornomorsk</v>
      </c>
      <c r="F175" s="5" t="str">
        <f>IFERROR(__xludf.DUMMYFUNCTION("""COMPUTED_VALUE"""),"The Netherlands")</f>
        <v>The Netherlands</v>
      </c>
      <c r="G175" s="5" t="str">
        <f>IFERROR(__xludf.DUMMYFUNCTION("""COMPUTED_VALUE"""),"Wheat")</f>
        <v>Wheat</v>
      </c>
      <c r="H175" s="6">
        <f>IFERROR(__xludf.DUMMYFUNCTION("""COMPUTED_VALUE"""),36471.0)</f>
        <v>36471</v>
      </c>
      <c r="I175" s="7">
        <f>IFERROR(__xludf.DUMMYFUNCTION("""COMPUTED_VALUE"""),45014.0)</f>
        <v>45014</v>
      </c>
      <c r="J175" s="7">
        <f>IFERROR(__xludf.DUMMYFUNCTION("""COMPUTED_VALUE"""),45024.0)</f>
        <v>45024</v>
      </c>
      <c r="K175" s="5" t="str">
        <f>IFERROR(__xludf.DUMMYFUNCTION("""COMPUTED_VALUE"""),"high-income")</f>
        <v>high-income</v>
      </c>
      <c r="L175" s="5" t="str">
        <f>IFERROR(__xludf.DUMMYFUNCTION("""COMPUTED_VALUE"""),"Hong-Kong")</f>
        <v>Hong-Kong</v>
      </c>
      <c r="M175" s="5" t="str">
        <f>IFERROR(__xludf.DUMMYFUNCTION("""COMPUTED_VALUE"""),"Europe &amp; Central Asia")</f>
        <v>Europe &amp; Central Asia</v>
      </c>
      <c r="N175" s="5" t="str">
        <f>IFERROR(__xludf.DUMMYFUNCTION("""COMPUTED_VALUE"""),"Western Europe and Others")</f>
        <v>Western Europe and Others</v>
      </c>
      <c r="O175" s="5" t="str">
        <f>IFERROR(__xludf.DUMMYFUNCTION("""COMPUTED_VALUE"""),"developed")</f>
        <v>developed</v>
      </c>
      <c r="P175" s="5"/>
      <c r="Q175" s="5"/>
    </row>
    <row r="176">
      <c r="A176" s="5" t="str">
        <f>IFERROR(__xludf.DUMMYFUNCTION("""COMPUTED_VALUE"""),"Outbound")</f>
        <v>Outbound</v>
      </c>
      <c r="B176" s="5">
        <f>IFERROR(__xludf.DUMMYFUNCTION("""COMPUTED_VALUE"""),854.0)</f>
        <v>854</v>
      </c>
      <c r="C176" s="5" t="str">
        <f>IFERROR(__xludf.DUMMYFUNCTION("""COMPUTED_VALUE"""),"SERENITY IBTIHAJ")</f>
        <v>SERENITY IBTIHAJ</v>
      </c>
      <c r="D176" s="5">
        <f>IFERROR(__xludf.DUMMYFUNCTION("""COMPUTED_VALUE"""),9364849.0)</f>
        <v>9364849</v>
      </c>
      <c r="E176" s="5" t="str">
        <f>IFERROR(__xludf.DUMMYFUNCTION("""COMPUTED_VALUE"""),"Yuzhny/Pivdennyi")</f>
        <v>Yuzhny/Pivdennyi</v>
      </c>
      <c r="F176" s="5" t="str">
        <f>IFERROR(__xludf.DUMMYFUNCTION("""COMPUTED_VALUE"""),"Egypt")</f>
        <v>Egypt</v>
      </c>
      <c r="G176" s="5" t="str">
        <f>IFERROR(__xludf.DUMMYFUNCTION("""COMPUTED_VALUE"""),"Corn")</f>
        <v>Corn</v>
      </c>
      <c r="H176" s="6">
        <f>IFERROR(__xludf.DUMMYFUNCTION("""COMPUTED_VALUE"""),26775.0)</f>
        <v>26775</v>
      </c>
      <c r="I176" s="7">
        <f>IFERROR(__xludf.DUMMYFUNCTION("""COMPUTED_VALUE"""),45014.0)</f>
        <v>45014</v>
      </c>
      <c r="J176" s="7">
        <f>IFERROR(__xludf.DUMMYFUNCTION("""COMPUTED_VALUE"""),45024.0)</f>
        <v>45024</v>
      </c>
      <c r="K176" s="5" t="str">
        <f>IFERROR(__xludf.DUMMYFUNCTION("""COMPUTED_VALUE"""),"lower-middle income")</f>
        <v>lower-middle income</v>
      </c>
      <c r="L176" s="5" t="str">
        <f>IFERROR(__xludf.DUMMYFUNCTION("""COMPUTED_VALUE"""),"Marshall Islands")</f>
        <v>Marshall Islands</v>
      </c>
      <c r="M176" s="5" t="str">
        <f>IFERROR(__xludf.DUMMYFUNCTION("""COMPUTED_VALUE"""),"Middle East &amp; North Africa")</f>
        <v>Middle East &amp; North Africa</v>
      </c>
      <c r="N176" s="5" t="str">
        <f>IFERROR(__xludf.DUMMYFUNCTION("""COMPUTED_VALUE"""),"Africa")</f>
        <v>Africa</v>
      </c>
      <c r="O176" s="5" t="str">
        <f>IFERROR(__xludf.DUMMYFUNCTION("""COMPUTED_VALUE"""),"developing")</f>
        <v>developing</v>
      </c>
      <c r="P176" s="5"/>
      <c r="Q176" s="5"/>
    </row>
    <row r="177">
      <c r="A177" s="5" t="str">
        <f>IFERROR(__xludf.DUMMYFUNCTION("""COMPUTED_VALUE"""),"Outbound")</f>
        <v>Outbound</v>
      </c>
      <c r="B177" s="5">
        <f>IFERROR(__xludf.DUMMYFUNCTION("""COMPUTED_VALUE"""),853.0)</f>
        <v>853</v>
      </c>
      <c r="C177" s="5" t="str">
        <f>IFERROR(__xludf.DUMMYFUNCTION("""COMPUTED_VALUE"""),"SANTA MARIA")</f>
        <v>SANTA MARIA</v>
      </c>
      <c r="D177" s="5">
        <f>IFERROR(__xludf.DUMMYFUNCTION("""COMPUTED_VALUE"""),9389813.0)</f>
        <v>9389813</v>
      </c>
      <c r="E177" s="5" t="str">
        <f>IFERROR(__xludf.DUMMYFUNCTION("""COMPUTED_VALUE"""),"Yuzhny/Pivdennyi")</f>
        <v>Yuzhny/Pivdennyi</v>
      </c>
      <c r="F177" s="5" t="str">
        <f>IFERROR(__xludf.DUMMYFUNCTION("""COMPUTED_VALUE"""),"Israel")</f>
        <v>Israel</v>
      </c>
      <c r="G177" s="5" t="str">
        <f>IFERROR(__xludf.DUMMYFUNCTION("""COMPUTED_VALUE"""),"Corn")</f>
        <v>Corn</v>
      </c>
      <c r="H177" s="6">
        <f>IFERROR(__xludf.DUMMYFUNCTION("""COMPUTED_VALUE"""),44000.0)</f>
        <v>44000</v>
      </c>
      <c r="I177" s="7">
        <f>IFERROR(__xludf.DUMMYFUNCTION("""COMPUTED_VALUE"""),45014.0)</f>
        <v>45014</v>
      </c>
      <c r="J177" s="7">
        <f>IFERROR(__xludf.DUMMYFUNCTION("""COMPUTED_VALUE"""),45025.0)</f>
        <v>45025</v>
      </c>
      <c r="K177" s="5" t="str">
        <f>IFERROR(__xludf.DUMMYFUNCTION("""COMPUTED_VALUE"""),"high-income")</f>
        <v>high-income</v>
      </c>
      <c r="L177" s="5" t="str">
        <f>IFERROR(__xludf.DUMMYFUNCTION("""COMPUTED_VALUE"""),"Liberia")</f>
        <v>Liberia</v>
      </c>
      <c r="M177" s="5" t="str">
        <f>IFERROR(__xludf.DUMMYFUNCTION("""COMPUTED_VALUE"""),"Middle East &amp; North Africa")</f>
        <v>Middle East &amp; North Africa</v>
      </c>
      <c r="N177" s="5" t="str">
        <f>IFERROR(__xludf.DUMMYFUNCTION("""COMPUTED_VALUE"""),"Western Europe and Others")</f>
        <v>Western Europe and Others</v>
      </c>
      <c r="O177" s="5" t="str">
        <f>IFERROR(__xludf.DUMMYFUNCTION("""COMPUTED_VALUE"""),"developed")</f>
        <v>developed</v>
      </c>
      <c r="P177" s="5"/>
      <c r="Q177" s="5"/>
    </row>
    <row r="178">
      <c r="A178" s="5" t="str">
        <f>IFERROR(__xludf.DUMMYFUNCTION("""COMPUTED_VALUE"""),"Outbound +")</f>
        <v>Outbound +</v>
      </c>
      <c r="B178" s="5">
        <f>IFERROR(__xludf.DUMMYFUNCTION("""COMPUTED_VALUE"""),853.0)</f>
        <v>853</v>
      </c>
      <c r="C178" s="5" t="str">
        <f>IFERROR(__xludf.DUMMYFUNCTION("""COMPUTED_VALUE"""),"SANTA MARIA")</f>
        <v>SANTA MARIA</v>
      </c>
      <c r="D178" s="5">
        <f>IFERROR(__xludf.DUMMYFUNCTION("""COMPUTED_VALUE"""),9389813.0)</f>
        <v>9389813</v>
      </c>
      <c r="E178" s="5" t="str">
        <f>IFERROR(__xludf.DUMMYFUNCTION("""COMPUTED_VALUE"""),"Yuzhny/Pivdennyi")</f>
        <v>Yuzhny/Pivdennyi</v>
      </c>
      <c r="F178" s="5" t="str">
        <f>IFERROR(__xludf.DUMMYFUNCTION("""COMPUTED_VALUE"""),"Israel")</f>
        <v>Israel</v>
      </c>
      <c r="G178" s="5" t="str">
        <f>IFERROR(__xludf.DUMMYFUNCTION("""COMPUTED_VALUE"""),"Wheat")</f>
        <v>Wheat</v>
      </c>
      <c r="H178" s="6">
        <f>IFERROR(__xludf.DUMMYFUNCTION("""COMPUTED_VALUE"""),21241.0)</f>
        <v>21241</v>
      </c>
      <c r="I178" s="7">
        <f>IFERROR(__xludf.DUMMYFUNCTION("""COMPUTED_VALUE"""),45014.0)</f>
        <v>45014</v>
      </c>
      <c r="J178" s="7">
        <f>IFERROR(__xludf.DUMMYFUNCTION("""COMPUTED_VALUE"""),45025.0)</f>
        <v>45025</v>
      </c>
      <c r="K178" s="5" t="str">
        <f>IFERROR(__xludf.DUMMYFUNCTION("""COMPUTED_VALUE"""),"high-income")</f>
        <v>high-income</v>
      </c>
      <c r="L178" s="5" t="str">
        <f>IFERROR(__xludf.DUMMYFUNCTION("""COMPUTED_VALUE"""),"Liberia")</f>
        <v>Liberia</v>
      </c>
      <c r="M178" s="5" t="str">
        <f>IFERROR(__xludf.DUMMYFUNCTION("""COMPUTED_VALUE"""),"Middle East &amp; North Africa")</f>
        <v>Middle East &amp; North Africa</v>
      </c>
      <c r="N178" s="5" t="str">
        <f>IFERROR(__xludf.DUMMYFUNCTION("""COMPUTED_VALUE"""),"Western Europe and Others")</f>
        <v>Western Europe and Others</v>
      </c>
      <c r="O178" s="5" t="str">
        <f>IFERROR(__xludf.DUMMYFUNCTION("""COMPUTED_VALUE"""),"developed")</f>
        <v>developed</v>
      </c>
      <c r="P178" s="5"/>
      <c r="Q178" s="5"/>
    </row>
    <row r="179">
      <c r="A179" s="5" t="str">
        <f>IFERROR(__xludf.DUMMYFUNCTION("""COMPUTED_VALUE"""),"Outbound")</f>
        <v>Outbound</v>
      </c>
      <c r="B179" s="5">
        <f>IFERROR(__xludf.DUMMYFUNCTION("""COMPUTED_VALUE"""),852.0)</f>
        <v>852</v>
      </c>
      <c r="C179" s="5" t="str">
        <f>IFERROR(__xludf.DUMMYFUNCTION("""COMPUTED_VALUE"""),"DIAMOND-T")</f>
        <v>DIAMOND-T</v>
      </c>
      <c r="D179" s="5">
        <f>IFERROR(__xludf.DUMMYFUNCTION("""COMPUTED_VALUE"""),9499371.0)</f>
        <v>9499371</v>
      </c>
      <c r="E179" s="5" t="str">
        <f>IFERROR(__xludf.DUMMYFUNCTION("""COMPUTED_VALUE"""),"Yuzhny/Pivdennyi")</f>
        <v>Yuzhny/Pivdennyi</v>
      </c>
      <c r="F179" s="5" t="str">
        <f>IFERROR(__xludf.DUMMYFUNCTION("""COMPUTED_VALUE"""),"China")</f>
        <v>China</v>
      </c>
      <c r="G179" s="5" t="str">
        <f>IFERROR(__xludf.DUMMYFUNCTION("""COMPUTED_VALUE"""),"Sunflower oil")</f>
        <v>Sunflower oil</v>
      </c>
      <c r="H179" s="6">
        <f>IFERROR(__xludf.DUMMYFUNCTION("""COMPUTED_VALUE"""),25200.0)</f>
        <v>25200</v>
      </c>
      <c r="I179" s="7">
        <f>IFERROR(__xludf.DUMMYFUNCTION("""COMPUTED_VALUE"""),45014.0)</f>
        <v>45014</v>
      </c>
      <c r="J179" s="7">
        <f>IFERROR(__xludf.DUMMYFUNCTION("""COMPUTED_VALUE"""),45024.0)</f>
        <v>45024</v>
      </c>
      <c r="K179" s="5" t="str">
        <f>IFERROR(__xludf.DUMMYFUNCTION("""COMPUTED_VALUE"""),"upper-middle-income")</f>
        <v>upper-middle-income</v>
      </c>
      <c r="L179" s="5" t="str">
        <f>IFERROR(__xludf.DUMMYFUNCTION("""COMPUTED_VALUE"""),"Panama")</f>
        <v>Panama</v>
      </c>
      <c r="M179" s="5" t="str">
        <f>IFERROR(__xludf.DUMMYFUNCTION("""COMPUTED_VALUE"""),"East Asia &amp; Pacific")</f>
        <v>East Asia &amp; Pacific</v>
      </c>
      <c r="N179" s="5" t="str">
        <f>IFERROR(__xludf.DUMMYFUNCTION("""COMPUTED_VALUE"""),"Asia-Pacific")</f>
        <v>Asia-Pacific</v>
      </c>
      <c r="O179" s="5" t="str">
        <f>IFERROR(__xludf.DUMMYFUNCTION("""COMPUTED_VALUE"""),"developing")</f>
        <v>developing</v>
      </c>
      <c r="P179" s="5"/>
      <c r="Q179" s="5"/>
    </row>
    <row r="180">
      <c r="A180" s="5" t="str">
        <f>IFERROR(__xludf.DUMMYFUNCTION("""COMPUTED_VALUE"""),"Outbound")</f>
        <v>Outbound</v>
      </c>
      <c r="B180" s="5">
        <f>IFERROR(__xludf.DUMMYFUNCTION("""COMPUTED_VALUE"""),851.0)</f>
        <v>851</v>
      </c>
      <c r="C180" s="5" t="str">
        <f>IFERROR(__xludf.DUMMYFUNCTION("""COMPUTED_VALUE"""),"THE WISE")</f>
        <v>THE WISE</v>
      </c>
      <c r="D180" s="5">
        <f>IFERROR(__xludf.DUMMYFUNCTION("""COMPUTED_VALUE"""),9318606.0)</f>
        <v>9318606</v>
      </c>
      <c r="E180" s="5" t="str">
        <f>IFERROR(__xludf.DUMMYFUNCTION("""COMPUTED_VALUE"""),"Yuzhny/Pivdennyi")</f>
        <v>Yuzhny/Pivdennyi</v>
      </c>
      <c r="F180" s="5" t="str">
        <f>IFERROR(__xludf.DUMMYFUNCTION("""COMPUTED_VALUE"""),"China")</f>
        <v>China</v>
      </c>
      <c r="G180" s="5" t="str">
        <f>IFERROR(__xludf.DUMMYFUNCTION("""COMPUTED_VALUE"""),"Corn")</f>
        <v>Corn</v>
      </c>
      <c r="H180" s="6">
        <f>IFERROR(__xludf.DUMMYFUNCTION("""COMPUTED_VALUE"""),65315.0)</f>
        <v>65315</v>
      </c>
      <c r="I180" s="7">
        <f>IFERROR(__xludf.DUMMYFUNCTION("""COMPUTED_VALUE"""),45012.0)</f>
        <v>45012</v>
      </c>
      <c r="J180" s="7">
        <f>IFERROR(__xludf.DUMMYFUNCTION("""COMPUTED_VALUE"""),45022.0)</f>
        <v>45022</v>
      </c>
      <c r="K180" s="5" t="str">
        <f>IFERROR(__xludf.DUMMYFUNCTION("""COMPUTED_VALUE"""),"upper-middle-income")</f>
        <v>upper-middle-income</v>
      </c>
      <c r="L180" s="5" t="str">
        <f>IFERROR(__xludf.DUMMYFUNCTION("""COMPUTED_VALUE"""),"Panama")</f>
        <v>Panama</v>
      </c>
      <c r="M180" s="5" t="str">
        <f>IFERROR(__xludf.DUMMYFUNCTION("""COMPUTED_VALUE"""),"East Asia &amp; Pacific")</f>
        <v>East Asia &amp; Pacific</v>
      </c>
      <c r="N180" s="5" t="str">
        <f>IFERROR(__xludf.DUMMYFUNCTION("""COMPUTED_VALUE"""),"Asia-Pacific")</f>
        <v>Asia-Pacific</v>
      </c>
      <c r="O180" s="5" t="str">
        <f>IFERROR(__xludf.DUMMYFUNCTION("""COMPUTED_VALUE"""),"developing")</f>
        <v>developing</v>
      </c>
      <c r="P180" s="5"/>
      <c r="Q180" s="5"/>
    </row>
    <row r="181">
      <c r="A181" s="5" t="str">
        <f>IFERROR(__xludf.DUMMYFUNCTION("""COMPUTED_VALUE"""),"Outbound")</f>
        <v>Outbound</v>
      </c>
      <c r="B181" s="5">
        <f>IFERROR(__xludf.DUMMYFUNCTION("""COMPUTED_VALUE"""),850.0)</f>
        <v>850</v>
      </c>
      <c r="C181" s="5" t="str">
        <f>IFERROR(__xludf.DUMMYFUNCTION("""COMPUTED_VALUE"""),"LILA MUNDRA ")</f>
        <v>LILA MUNDRA </v>
      </c>
      <c r="D181" s="5">
        <f>IFERROR(__xludf.DUMMYFUNCTION("""COMPUTED_VALUE"""),9441881.0)</f>
        <v>9441881</v>
      </c>
      <c r="E181" s="5" t="str">
        <f>IFERROR(__xludf.DUMMYFUNCTION("""COMPUTED_VALUE"""),"Odesa")</f>
        <v>Odesa</v>
      </c>
      <c r="F181" s="5" t="str">
        <f>IFERROR(__xludf.DUMMYFUNCTION("""COMPUTED_VALUE"""),"Bangladesh")</f>
        <v>Bangladesh</v>
      </c>
      <c r="G181" s="5" t="str">
        <f>IFERROR(__xludf.DUMMYFUNCTION("""COMPUTED_VALUE"""),"Wheat")</f>
        <v>Wheat</v>
      </c>
      <c r="H181" s="6">
        <f>IFERROR(__xludf.DUMMYFUNCTION("""COMPUTED_VALUE"""),54994.0)</f>
        <v>54994</v>
      </c>
      <c r="I181" s="7">
        <f>IFERROR(__xludf.DUMMYFUNCTION("""COMPUTED_VALUE"""),45012.0)</f>
        <v>45012</v>
      </c>
      <c r="J181" s="7">
        <f>IFERROR(__xludf.DUMMYFUNCTION("""COMPUTED_VALUE"""),45022.0)</f>
        <v>45022</v>
      </c>
      <c r="K181" s="5" t="str">
        <f>IFERROR(__xludf.DUMMYFUNCTION("""COMPUTED_VALUE"""),"lower-middle income")</f>
        <v>lower-middle income</v>
      </c>
      <c r="L181" s="5" t="str">
        <f>IFERROR(__xludf.DUMMYFUNCTION("""COMPUTED_VALUE"""),"Liberia")</f>
        <v>Liberia</v>
      </c>
      <c r="M181" s="5" t="str">
        <f>IFERROR(__xludf.DUMMYFUNCTION("""COMPUTED_VALUE"""),"South Asia")</f>
        <v>South Asia</v>
      </c>
      <c r="N181" s="5" t="str">
        <f>IFERROR(__xludf.DUMMYFUNCTION("""COMPUTED_VALUE"""),"Asia-Pacific")</f>
        <v>Asia-Pacific</v>
      </c>
      <c r="O181" s="5" t="str">
        <f>IFERROR(__xludf.DUMMYFUNCTION("""COMPUTED_VALUE"""),"developing")</f>
        <v>developing</v>
      </c>
      <c r="P181" s="5"/>
      <c r="Q181" s="5"/>
    </row>
    <row r="182">
      <c r="A182" s="5" t="str">
        <f>IFERROR(__xludf.DUMMYFUNCTION("""COMPUTED_VALUE"""),"Outbound")</f>
        <v>Outbound</v>
      </c>
      <c r="B182" s="5">
        <f>IFERROR(__xludf.DUMMYFUNCTION("""COMPUTED_VALUE"""),849.0)</f>
        <v>849</v>
      </c>
      <c r="C182" s="5" t="str">
        <f>IFERROR(__xludf.DUMMYFUNCTION("""COMPUTED_VALUE"""),"RISING LION")</f>
        <v>RISING LION</v>
      </c>
      <c r="D182" s="5">
        <f>IFERROR(__xludf.DUMMYFUNCTION("""COMPUTED_VALUE"""),9427031.0)</f>
        <v>9427031</v>
      </c>
      <c r="E182" s="5" t="str">
        <f>IFERROR(__xludf.DUMMYFUNCTION("""COMPUTED_VALUE"""),"Yuzhny/Pivdennyi")</f>
        <v>Yuzhny/Pivdennyi</v>
      </c>
      <c r="F182" s="5" t="str">
        <f>IFERROR(__xludf.DUMMYFUNCTION("""COMPUTED_VALUE"""),"China")</f>
        <v>China</v>
      </c>
      <c r="G182" s="5" t="str">
        <f>IFERROR(__xludf.DUMMYFUNCTION("""COMPUTED_VALUE"""),"Corn")</f>
        <v>Corn</v>
      </c>
      <c r="H182" s="6">
        <f>IFERROR(__xludf.DUMMYFUNCTION("""COMPUTED_VALUE"""),45661.0)</f>
        <v>45661</v>
      </c>
      <c r="I182" s="7">
        <f>IFERROR(__xludf.DUMMYFUNCTION("""COMPUTED_VALUE"""),45011.0)</f>
        <v>45011</v>
      </c>
      <c r="J182" s="7">
        <f>IFERROR(__xludf.DUMMYFUNCTION("""COMPUTED_VALUE"""),45021.0)</f>
        <v>45021</v>
      </c>
      <c r="K182" s="5" t="str">
        <f>IFERROR(__xludf.DUMMYFUNCTION("""COMPUTED_VALUE"""),"upper-middle-income")</f>
        <v>upper-middle-income</v>
      </c>
      <c r="L182" s="5" t="str">
        <f>IFERROR(__xludf.DUMMYFUNCTION("""COMPUTED_VALUE"""),"Marshall Islands")</f>
        <v>Marshall Islands</v>
      </c>
      <c r="M182" s="5" t="str">
        <f>IFERROR(__xludf.DUMMYFUNCTION("""COMPUTED_VALUE"""),"East Asia &amp; Pacific")</f>
        <v>East Asia &amp; Pacific</v>
      </c>
      <c r="N182" s="5" t="str">
        <f>IFERROR(__xludf.DUMMYFUNCTION("""COMPUTED_VALUE"""),"Asia-Pacific")</f>
        <v>Asia-Pacific</v>
      </c>
      <c r="O182" s="5" t="str">
        <f>IFERROR(__xludf.DUMMYFUNCTION("""COMPUTED_VALUE"""),"developing")</f>
        <v>developing</v>
      </c>
      <c r="P182" s="5"/>
      <c r="Q182" s="5"/>
    </row>
    <row r="183">
      <c r="A183" s="5" t="str">
        <f>IFERROR(__xludf.DUMMYFUNCTION("""COMPUTED_VALUE"""),"Outbound +")</f>
        <v>Outbound +</v>
      </c>
      <c r="B183" s="5">
        <f>IFERROR(__xludf.DUMMYFUNCTION("""COMPUTED_VALUE"""),849.0)</f>
        <v>849</v>
      </c>
      <c r="C183" s="5" t="str">
        <f>IFERROR(__xludf.DUMMYFUNCTION("""COMPUTED_VALUE"""),"RISING LION")</f>
        <v>RISING LION</v>
      </c>
      <c r="D183" s="5">
        <f>IFERROR(__xludf.DUMMYFUNCTION("""COMPUTED_VALUE"""),9427031.0)</f>
        <v>9427031</v>
      </c>
      <c r="E183" s="5" t="str">
        <f>IFERROR(__xludf.DUMMYFUNCTION("""COMPUTED_VALUE"""),"Yuzhny/Pivdennyi")</f>
        <v>Yuzhny/Pivdennyi</v>
      </c>
      <c r="F183" s="5" t="str">
        <f>IFERROR(__xludf.DUMMYFUNCTION("""COMPUTED_VALUE"""),"China")</f>
        <v>China</v>
      </c>
      <c r="G183" s="5" t="str">
        <f>IFERROR(__xludf.DUMMYFUNCTION("""COMPUTED_VALUE"""),"Sunflower meal")</f>
        <v>Sunflower meal</v>
      </c>
      <c r="H183" s="6">
        <f>IFERROR(__xludf.DUMMYFUNCTION("""COMPUTED_VALUE"""),17511.0)</f>
        <v>17511</v>
      </c>
      <c r="I183" s="7">
        <f>IFERROR(__xludf.DUMMYFUNCTION("""COMPUTED_VALUE"""),45011.0)</f>
        <v>45011</v>
      </c>
      <c r="J183" s="7">
        <f>IFERROR(__xludf.DUMMYFUNCTION("""COMPUTED_VALUE"""),45021.0)</f>
        <v>45021</v>
      </c>
      <c r="K183" s="5" t="str">
        <f>IFERROR(__xludf.DUMMYFUNCTION("""COMPUTED_VALUE"""),"upper-middle-income")</f>
        <v>upper-middle-income</v>
      </c>
      <c r="L183" s="5" t="str">
        <f>IFERROR(__xludf.DUMMYFUNCTION("""COMPUTED_VALUE"""),"Marshall Islands")</f>
        <v>Marshall Islands</v>
      </c>
      <c r="M183" s="5" t="str">
        <f>IFERROR(__xludf.DUMMYFUNCTION("""COMPUTED_VALUE"""),"East Asia &amp; Pacific")</f>
        <v>East Asia &amp; Pacific</v>
      </c>
      <c r="N183" s="5" t="str">
        <f>IFERROR(__xludf.DUMMYFUNCTION("""COMPUTED_VALUE"""),"Asia-Pacific")</f>
        <v>Asia-Pacific</v>
      </c>
      <c r="O183" s="5" t="str">
        <f>IFERROR(__xludf.DUMMYFUNCTION("""COMPUTED_VALUE"""),"developing")</f>
        <v>developing</v>
      </c>
      <c r="P183" s="5"/>
      <c r="Q183" s="5"/>
    </row>
    <row r="184">
      <c r="A184" s="5" t="str">
        <f>IFERROR(__xludf.DUMMYFUNCTION("""COMPUTED_VALUE"""),"Outbound")</f>
        <v>Outbound</v>
      </c>
      <c r="B184" s="5">
        <f>IFERROR(__xludf.DUMMYFUNCTION("""COMPUTED_VALUE"""),848.0)</f>
        <v>848</v>
      </c>
      <c r="C184" s="5" t="str">
        <f>IFERROR(__xludf.DUMMYFUNCTION("""COMPUTED_VALUE"""),"HAFINA AXINITE")</f>
        <v>HAFINA AXINITE</v>
      </c>
      <c r="D184" s="5">
        <f>IFERROR(__xludf.DUMMYFUNCTION("""COMPUTED_VALUE"""),9719771.0)</f>
        <v>9719771</v>
      </c>
      <c r="E184" s="5" t="str">
        <f>IFERROR(__xludf.DUMMYFUNCTION("""COMPUTED_VALUE"""),"Chornomorsk")</f>
        <v>Chornomorsk</v>
      </c>
      <c r="F184" s="5" t="str">
        <f>IFERROR(__xludf.DUMMYFUNCTION("""COMPUTED_VALUE"""),"Iraq")</f>
        <v>Iraq</v>
      </c>
      <c r="G184" s="5" t="str">
        <f>IFERROR(__xludf.DUMMYFUNCTION("""COMPUTED_VALUE"""),"Sunflower oil")</f>
        <v>Sunflower oil</v>
      </c>
      <c r="H184" s="6">
        <f>IFERROR(__xludf.DUMMYFUNCTION("""COMPUTED_VALUE"""),30600.0)</f>
        <v>30600</v>
      </c>
      <c r="I184" s="7">
        <f>IFERROR(__xludf.DUMMYFUNCTION("""COMPUTED_VALUE"""),45011.0)</f>
        <v>45011</v>
      </c>
      <c r="J184" s="7">
        <f>IFERROR(__xludf.DUMMYFUNCTION("""COMPUTED_VALUE"""),45021.0)</f>
        <v>45021</v>
      </c>
      <c r="K184" s="5" t="str">
        <f>IFERROR(__xludf.DUMMYFUNCTION("""COMPUTED_VALUE"""),"upper-middle-income")</f>
        <v>upper-middle-income</v>
      </c>
      <c r="L184" s="5" t="str">
        <f>IFERROR(__xludf.DUMMYFUNCTION("""COMPUTED_VALUE"""),"Marshall Islands")</f>
        <v>Marshall Islands</v>
      </c>
      <c r="M184" s="5" t="str">
        <f>IFERROR(__xludf.DUMMYFUNCTION("""COMPUTED_VALUE"""),"Middle East &amp; North Africa")</f>
        <v>Middle East &amp; North Africa</v>
      </c>
      <c r="N184" s="5" t="str">
        <f>IFERROR(__xludf.DUMMYFUNCTION("""COMPUTED_VALUE"""),"Asia-Pacific")</f>
        <v>Asia-Pacific</v>
      </c>
      <c r="O184" s="5" t="str">
        <f>IFERROR(__xludf.DUMMYFUNCTION("""COMPUTED_VALUE"""),"developing")</f>
        <v>developing</v>
      </c>
      <c r="P184" s="5"/>
      <c r="Q184" s="5"/>
    </row>
    <row r="185">
      <c r="A185" s="5" t="str">
        <f>IFERROR(__xludf.DUMMYFUNCTION("""COMPUTED_VALUE"""),"Outbound")</f>
        <v>Outbound</v>
      </c>
      <c r="B185" s="5">
        <f>IFERROR(__xludf.DUMMYFUNCTION("""COMPUTED_VALUE"""),847.0)</f>
        <v>847</v>
      </c>
      <c r="C185" s="5" t="str">
        <f>IFERROR(__xludf.DUMMYFUNCTION("""COMPUTED_VALUE"""),"ASL ILEANA")</f>
        <v>ASL ILEANA</v>
      </c>
      <c r="D185" s="5">
        <f>IFERROR(__xludf.DUMMYFUNCTION("""COMPUTED_VALUE"""),9554042.0)</f>
        <v>9554042</v>
      </c>
      <c r="E185" s="5" t="str">
        <f>IFERROR(__xludf.DUMMYFUNCTION("""COMPUTED_VALUE"""),"Chornomorsk")</f>
        <v>Chornomorsk</v>
      </c>
      <c r="F185" s="5" t="str">
        <f>IFERROR(__xludf.DUMMYFUNCTION("""COMPUTED_VALUE"""),"Bangladesh")</f>
        <v>Bangladesh</v>
      </c>
      <c r="G185" s="5" t="str">
        <f>IFERROR(__xludf.DUMMYFUNCTION("""COMPUTED_VALUE"""),"Wheat")</f>
        <v>Wheat</v>
      </c>
      <c r="H185" s="6">
        <f>IFERROR(__xludf.DUMMYFUNCTION("""COMPUTED_VALUE"""),54612.0)</f>
        <v>54612</v>
      </c>
      <c r="I185" s="7">
        <f>IFERROR(__xludf.DUMMYFUNCTION("""COMPUTED_VALUE"""),45011.0)</f>
        <v>45011</v>
      </c>
      <c r="J185" s="7">
        <f>IFERROR(__xludf.DUMMYFUNCTION("""COMPUTED_VALUE"""),45022.0)</f>
        <v>45022</v>
      </c>
      <c r="K185" s="5" t="str">
        <f>IFERROR(__xludf.DUMMYFUNCTION("""COMPUTED_VALUE"""),"lower-middle income")</f>
        <v>lower-middle income</v>
      </c>
      <c r="L185" s="5" t="str">
        <f>IFERROR(__xludf.DUMMYFUNCTION("""COMPUTED_VALUE"""),"Liberia")</f>
        <v>Liberia</v>
      </c>
      <c r="M185" s="5" t="str">
        <f>IFERROR(__xludf.DUMMYFUNCTION("""COMPUTED_VALUE"""),"South Asia")</f>
        <v>South Asia</v>
      </c>
      <c r="N185" s="5" t="str">
        <f>IFERROR(__xludf.DUMMYFUNCTION("""COMPUTED_VALUE"""),"Asia-Pacific")</f>
        <v>Asia-Pacific</v>
      </c>
      <c r="O185" s="5" t="str">
        <f>IFERROR(__xludf.DUMMYFUNCTION("""COMPUTED_VALUE"""),"developing")</f>
        <v>developing</v>
      </c>
      <c r="P185" s="5"/>
      <c r="Q185" s="5"/>
    </row>
    <row r="186">
      <c r="A186" s="5" t="str">
        <f>IFERROR(__xludf.DUMMYFUNCTION("""COMPUTED_VALUE"""),"Outbound")</f>
        <v>Outbound</v>
      </c>
      <c r="B186" s="5">
        <f>IFERROR(__xludf.DUMMYFUNCTION("""COMPUTED_VALUE"""),846.0)</f>
        <v>846</v>
      </c>
      <c r="C186" s="5" t="str">
        <f>IFERROR(__xludf.DUMMYFUNCTION("""COMPUTED_VALUE"""),"NEGMAR CICEK (WFP)")</f>
        <v>NEGMAR CICEK (WFP)</v>
      </c>
      <c r="D186" s="5">
        <f>IFERROR(__xludf.DUMMYFUNCTION("""COMPUTED_VALUE"""),9542685.0)</f>
        <v>9542685</v>
      </c>
      <c r="E186" s="5" t="str">
        <f>IFERROR(__xludf.DUMMYFUNCTION("""COMPUTED_VALUE"""),"Chornomorsk")</f>
        <v>Chornomorsk</v>
      </c>
      <c r="F186" s="5" t="str">
        <f>IFERROR(__xludf.DUMMYFUNCTION("""COMPUTED_VALUE"""),"Yemen")</f>
        <v>Yemen</v>
      </c>
      <c r="G186" s="5" t="str">
        <f>IFERROR(__xludf.DUMMYFUNCTION("""COMPUTED_VALUE"""),"Wheat")</f>
        <v>Wheat</v>
      </c>
      <c r="H186" s="6">
        <f>IFERROR(__xludf.DUMMYFUNCTION("""COMPUTED_VALUE"""),30000.0)</f>
        <v>30000</v>
      </c>
      <c r="I186" s="7">
        <f>IFERROR(__xludf.DUMMYFUNCTION("""COMPUTED_VALUE"""),45010.0)</f>
        <v>45010</v>
      </c>
      <c r="J186" s="7">
        <f>IFERROR(__xludf.DUMMYFUNCTION("""COMPUTED_VALUE"""),45016.0)</f>
        <v>45016</v>
      </c>
      <c r="K186" s="5" t="str">
        <f>IFERROR(__xludf.DUMMYFUNCTION("""COMPUTED_VALUE"""),"low-income")</f>
        <v>low-income</v>
      </c>
      <c r="L186" s="5" t="str">
        <f>IFERROR(__xludf.DUMMYFUNCTION("""COMPUTED_VALUE"""),"Marshall Islands")</f>
        <v>Marshall Islands</v>
      </c>
      <c r="M186" s="5" t="str">
        <f>IFERROR(__xludf.DUMMYFUNCTION("""COMPUTED_VALUE"""),"Middle East &amp; North Africa")</f>
        <v>Middle East &amp; North Africa</v>
      </c>
      <c r="N186" s="5" t="str">
        <f>IFERROR(__xludf.DUMMYFUNCTION("""COMPUTED_VALUE"""),"Asia-Pacific")</f>
        <v>Asia-Pacific</v>
      </c>
      <c r="O186" s="5" t="str">
        <f>IFERROR(__xludf.DUMMYFUNCTION("""COMPUTED_VALUE"""),"developing")</f>
        <v>developing</v>
      </c>
      <c r="P186" s="5" t="str">
        <f>IFERROR(__xludf.DUMMYFUNCTION("""COMPUTED_VALUE"""),"WFP")</f>
        <v>WFP</v>
      </c>
      <c r="Q186" s="5"/>
    </row>
    <row r="187">
      <c r="A187" s="5" t="str">
        <f>IFERROR(__xludf.DUMMYFUNCTION("""COMPUTED_VALUE"""),"Outbound")</f>
        <v>Outbound</v>
      </c>
      <c r="B187" s="5">
        <f>IFERROR(__xludf.DUMMYFUNCTION("""COMPUTED_VALUE"""),845.0)</f>
        <v>845</v>
      </c>
      <c r="C187" s="5" t="str">
        <f>IFERROR(__xludf.DUMMYFUNCTION("""COMPUTED_VALUE"""),"FAIR LADY")</f>
        <v>FAIR LADY</v>
      </c>
      <c r="D187" s="5">
        <f>IFERROR(__xludf.DUMMYFUNCTION("""COMPUTED_VALUE"""),9342877.0)</f>
        <v>9342877</v>
      </c>
      <c r="E187" s="5" t="str">
        <f>IFERROR(__xludf.DUMMYFUNCTION("""COMPUTED_VALUE"""),"Chornomorsk")</f>
        <v>Chornomorsk</v>
      </c>
      <c r="F187" s="5" t="str">
        <f>IFERROR(__xludf.DUMMYFUNCTION("""COMPUTED_VALUE"""),"Spain")</f>
        <v>Spain</v>
      </c>
      <c r="G187" s="5" t="str">
        <f>IFERROR(__xludf.DUMMYFUNCTION("""COMPUTED_VALUE"""),"Corn")</f>
        <v>Corn</v>
      </c>
      <c r="H187" s="6">
        <f>IFERROR(__xludf.DUMMYFUNCTION("""COMPUTED_VALUE"""),45044.0)</f>
        <v>45044</v>
      </c>
      <c r="I187" s="7">
        <f>IFERROR(__xludf.DUMMYFUNCTION("""COMPUTED_VALUE"""),45010.0)</f>
        <v>45010</v>
      </c>
      <c r="J187" s="7">
        <f>IFERROR(__xludf.DUMMYFUNCTION("""COMPUTED_VALUE"""),45020.0)</f>
        <v>45020</v>
      </c>
      <c r="K187" s="5" t="str">
        <f>IFERROR(__xludf.DUMMYFUNCTION("""COMPUTED_VALUE"""),"high-income")</f>
        <v>high-income</v>
      </c>
      <c r="L187" s="5" t="str">
        <f>IFERROR(__xludf.DUMMYFUNCTION("""COMPUTED_VALUE"""),"Malta")</f>
        <v>Malta</v>
      </c>
      <c r="M187" s="5" t="str">
        <f>IFERROR(__xludf.DUMMYFUNCTION("""COMPUTED_VALUE"""),"Europe &amp; Central Asia")</f>
        <v>Europe &amp; Central Asia</v>
      </c>
      <c r="N187" s="5" t="str">
        <f>IFERROR(__xludf.DUMMYFUNCTION("""COMPUTED_VALUE"""),"Western Europe and Others")</f>
        <v>Western Europe and Others</v>
      </c>
      <c r="O187" s="5" t="str">
        <f>IFERROR(__xludf.DUMMYFUNCTION("""COMPUTED_VALUE"""),"developed")</f>
        <v>developed</v>
      </c>
      <c r="P187" s="5"/>
      <c r="Q187" s="5"/>
    </row>
    <row r="188">
      <c r="A188" s="5" t="str">
        <f>IFERROR(__xludf.DUMMYFUNCTION("""COMPUTED_VALUE"""),"Outbound +")</f>
        <v>Outbound +</v>
      </c>
      <c r="B188" s="5">
        <f>IFERROR(__xludf.DUMMYFUNCTION("""COMPUTED_VALUE"""),845.0)</f>
        <v>845</v>
      </c>
      <c r="C188" s="5" t="str">
        <f>IFERROR(__xludf.DUMMYFUNCTION("""COMPUTED_VALUE"""),"FAIR LADY")</f>
        <v>FAIR LADY</v>
      </c>
      <c r="D188" s="5">
        <f>IFERROR(__xludf.DUMMYFUNCTION("""COMPUTED_VALUE"""),9342877.0)</f>
        <v>9342877</v>
      </c>
      <c r="E188" s="5" t="str">
        <f>IFERROR(__xludf.DUMMYFUNCTION("""COMPUTED_VALUE"""),"Chornomorsk")</f>
        <v>Chornomorsk</v>
      </c>
      <c r="F188" s="5" t="str">
        <f>IFERROR(__xludf.DUMMYFUNCTION("""COMPUTED_VALUE"""),"The Netherlands")</f>
        <v>The Netherlands</v>
      </c>
      <c r="G188" s="5" t="str">
        <f>IFERROR(__xludf.DUMMYFUNCTION("""COMPUTED_VALUE"""),"Wheat")</f>
        <v>Wheat</v>
      </c>
      <c r="H188" s="6">
        <f>IFERROR(__xludf.DUMMYFUNCTION("""COMPUTED_VALUE"""),20251.0)</f>
        <v>20251</v>
      </c>
      <c r="I188" s="7">
        <f>IFERROR(__xludf.DUMMYFUNCTION("""COMPUTED_VALUE"""),45010.0)</f>
        <v>45010</v>
      </c>
      <c r="J188" s="7">
        <f>IFERROR(__xludf.DUMMYFUNCTION("""COMPUTED_VALUE"""),45020.0)</f>
        <v>45020</v>
      </c>
      <c r="K188" s="5" t="str">
        <f>IFERROR(__xludf.DUMMYFUNCTION("""COMPUTED_VALUE"""),"high-income")</f>
        <v>high-income</v>
      </c>
      <c r="L188" s="5" t="str">
        <f>IFERROR(__xludf.DUMMYFUNCTION("""COMPUTED_VALUE"""),"Malta")</f>
        <v>Malta</v>
      </c>
      <c r="M188" s="5" t="str">
        <f>IFERROR(__xludf.DUMMYFUNCTION("""COMPUTED_VALUE"""),"Europe &amp; Central Asia")</f>
        <v>Europe &amp; Central Asia</v>
      </c>
      <c r="N188" s="5" t="str">
        <f>IFERROR(__xludf.DUMMYFUNCTION("""COMPUTED_VALUE"""),"Western Europe and Others")</f>
        <v>Western Europe and Others</v>
      </c>
      <c r="O188" s="5" t="str">
        <f>IFERROR(__xludf.DUMMYFUNCTION("""COMPUTED_VALUE"""),"developed")</f>
        <v>developed</v>
      </c>
      <c r="P188" s="5"/>
      <c r="Q188" s="5"/>
    </row>
    <row r="189">
      <c r="A189" s="5" t="str">
        <f>IFERROR(__xludf.DUMMYFUNCTION("""COMPUTED_VALUE"""),"Outbound")</f>
        <v>Outbound</v>
      </c>
      <c r="B189" s="5">
        <f>IFERROR(__xludf.DUMMYFUNCTION("""COMPUTED_VALUE"""),844.0)</f>
        <v>844</v>
      </c>
      <c r="C189" s="5" t="str">
        <f>IFERROR(__xludf.DUMMYFUNCTION("""COMPUTED_VALUE"""),"AT 27")</f>
        <v>AT 27</v>
      </c>
      <c r="D189" s="5">
        <f>IFERROR(__xludf.DUMMYFUNCTION("""COMPUTED_VALUE"""),9136539.0)</f>
        <v>9136539</v>
      </c>
      <c r="E189" s="5" t="str">
        <f>IFERROR(__xludf.DUMMYFUNCTION("""COMPUTED_VALUE"""),"Chornomorsk")</f>
        <v>Chornomorsk</v>
      </c>
      <c r="F189" s="5" t="str">
        <f>IFERROR(__xludf.DUMMYFUNCTION("""COMPUTED_VALUE"""),"Italy")</f>
        <v>Italy</v>
      </c>
      <c r="G189" s="5" t="str">
        <f>IFERROR(__xludf.DUMMYFUNCTION("""COMPUTED_VALUE"""),"Corn")</f>
        <v>Corn</v>
      </c>
      <c r="H189" s="6">
        <f>IFERROR(__xludf.DUMMYFUNCTION("""COMPUTED_VALUE"""),25900.0)</f>
        <v>25900</v>
      </c>
      <c r="I189" s="7">
        <f>IFERROR(__xludf.DUMMYFUNCTION("""COMPUTED_VALUE"""),45010.0)</f>
        <v>45010</v>
      </c>
      <c r="J189" s="7">
        <f>IFERROR(__xludf.DUMMYFUNCTION("""COMPUTED_VALUE"""),45022.0)</f>
        <v>45022</v>
      </c>
      <c r="K189" s="5" t="str">
        <f>IFERROR(__xludf.DUMMYFUNCTION("""COMPUTED_VALUE"""),"high-income")</f>
        <v>high-income</v>
      </c>
      <c r="L189" s="5" t="str">
        <f>IFERROR(__xludf.DUMMYFUNCTION("""COMPUTED_VALUE"""),"Palau")</f>
        <v>Palau</v>
      </c>
      <c r="M189" s="5" t="str">
        <f>IFERROR(__xludf.DUMMYFUNCTION("""COMPUTED_VALUE"""),"Europe &amp; Central Asia")</f>
        <v>Europe &amp; Central Asia</v>
      </c>
      <c r="N189" s="5" t="str">
        <f>IFERROR(__xludf.DUMMYFUNCTION("""COMPUTED_VALUE"""),"Western Europe and Others")</f>
        <v>Western Europe and Others</v>
      </c>
      <c r="O189" s="5" t="str">
        <f>IFERROR(__xludf.DUMMYFUNCTION("""COMPUTED_VALUE"""),"developed")</f>
        <v>developed</v>
      </c>
      <c r="P189" s="5"/>
      <c r="Q189" s="5"/>
    </row>
    <row r="190">
      <c r="A190" s="5" t="str">
        <f>IFERROR(__xludf.DUMMYFUNCTION("""COMPUTED_VALUE"""),"Outbound")</f>
        <v>Outbound</v>
      </c>
      <c r="B190" s="5">
        <f>IFERROR(__xludf.DUMMYFUNCTION("""COMPUTED_VALUE"""),843.0)</f>
        <v>843</v>
      </c>
      <c r="C190" s="5" t="str">
        <f>IFERROR(__xludf.DUMMYFUNCTION("""COMPUTED_VALUE"""),"ABK TIGER")</f>
        <v>ABK TIGER</v>
      </c>
      <c r="D190" s="5">
        <f>IFERROR(__xludf.DUMMYFUNCTION("""COMPUTED_VALUE"""),9263760.0)</f>
        <v>9263760</v>
      </c>
      <c r="E190" s="5" t="str">
        <f>IFERROR(__xludf.DUMMYFUNCTION("""COMPUTED_VALUE"""),"Odesa")</f>
        <v>Odesa</v>
      </c>
      <c r="F190" s="5" t="str">
        <f>IFERROR(__xludf.DUMMYFUNCTION("""COMPUTED_VALUE"""),"Egypt")</f>
        <v>Egypt</v>
      </c>
      <c r="G190" s="5" t="str">
        <f>IFERROR(__xludf.DUMMYFUNCTION("""COMPUTED_VALUE"""),"Soya beans")</f>
        <v>Soya beans</v>
      </c>
      <c r="H190" s="6">
        <f>IFERROR(__xludf.DUMMYFUNCTION("""COMPUTED_VALUE"""),27000.0)</f>
        <v>27000</v>
      </c>
      <c r="I190" s="7">
        <f>IFERROR(__xludf.DUMMYFUNCTION("""COMPUTED_VALUE"""),45010.0)</f>
        <v>45010</v>
      </c>
      <c r="J190" s="7">
        <f>IFERROR(__xludf.DUMMYFUNCTION("""COMPUTED_VALUE"""),45018.0)</f>
        <v>45018</v>
      </c>
      <c r="K190" s="5" t="str">
        <f>IFERROR(__xludf.DUMMYFUNCTION("""COMPUTED_VALUE"""),"lower-middle income")</f>
        <v>lower-middle income</v>
      </c>
      <c r="L190" s="5" t="str">
        <f>IFERROR(__xludf.DUMMYFUNCTION("""COMPUTED_VALUE"""),"Panama")</f>
        <v>Panama</v>
      </c>
      <c r="M190" s="5" t="str">
        <f>IFERROR(__xludf.DUMMYFUNCTION("""COMPUTED_VALUE"""),"Middle East &amp; North Africa")</f>
        <v>Middle East &amp; North Africa</v>
      </c>
      <c r="N190" s="5" t="str">
        <f>IFERROR(__xludf.DUMMYFUNCTION("""COMPUTED_VALUE"""),"Africa")</f>
        <v>Africa</v>
      </c>
      <c r="O190" s="5" t="str">
        <f>IFERROR(__xludf.DUMMYFUNCTION("""COMPUTED_VALUE"""),"developing")</f>
        <v>developing</v>
      </c>
      <c r="P190" s="5"/>
      <c r="Q190" s="5"/>
    </row>
    <row r="191">
      <c r="A191" s="5" t="str">
        <f>IFERROR(__xludf.DUMMYFUNCTION("""COMPUTED_VALUE"""),"Outbound")</f>
        <v>Outbound</v>
      </c>
      <c r="B191" s="5">
        <f>IFERROR(__xludf.DUMMYFUNCTION("""COMPUTED_VALUE"""),842.0)</f>
        <v>842</v>
      </c>
      <c r="C191" s="5" t="str">
        <f>IFERROR(__xludf.DUMMYFUNCTION("""COMPUTED_VALUE"""),"RIZABEY")</f>
        <v>RIZABEY</v>
      </c>
      <c r="D191" s="5">
        <f>IFERROR(__xludf.DUMMYFUNCTION("""COMPUTED_VALUE"""),9197117.0)</f>
        <v>9197117</v>
      </c>
      <c r="E191" s="5" t="str">
        <f>IFERROR(__xludf.DUMMYFUNCTION("""COMPUTED_VALUE"""),"Chornomorsk")</f>
        <v>Chornomorsk</v>
      </c>
      <c r="F191" s="5" t="str">
        <f>IFERROR(__xludf.DUMMYFUNCTION("""COMPUTED_VALUE"""),"Italy")</f>
        <v>Italy</v>
      </c>
      <c r="G191" s="5" t="str">
        <f>IFERROR(__xludf.DUMMYFUNCTION("""COMPUTED_VALUE"""),"Corn")</f>
        <v>Corn</v>
      </c>
      <c r="H191" s="6">
        <f>IFERROR(__xludf.DUMMYFUNCTION("""COMPUTED_VALUE"""),6522.0)</f>
        <v>6522</v>
      </c>
      <c r="I191" s="7">
        <f>IFERROR(__xludf.DUMMYFUNCTION("""COMPUTED_VALUE"""),45009.0)</f>
        <v>45009</v>
      </c>
      <c r="J191" s="7">
        <f>IFERROR(__xludf.DUMMYFUNCTION("""COMPUTED_VALUE"""),45018.0)</f>
        <v>45018</v>
      </c>
      <c r="K191" s="5" t="str">
        <f>IFERROR(__xludf.DUMMYFUNCTION("""COMPUTED_VALUE"""),"high-income")</f>
        <v>high-income</v>
      </c>
      <c r="L191" s="5" t="str">
        <f>IFERROR(__xludf.DUMMYFUNCTION("""COMPUTED_VALUE"""),"Panama")</f>
        <v>Panama</v>
      </c>
      <c r="M191" s="5" t="str">
        <f>IFERROR(__xludf.DUMMYFUNCTION("""COMPUTED_VALUE"""),"Europe &amp; Central Asia")</f>
        <v>Europe &amp; Central Asia</v>
      </c>
      <c r="N191" s="5" t="str">
        <f>IFERROR(__xludf.DUMMYFUNCTION("""COMPUTED_VALUE"""),"Western Europe and Others")</f>
        <v>Western Europe and Others</v>
      </c>
      <c r="O191" s="5" t="str">
        <f>IFERROR(__xludf.DUMMYFUNCTION("""COMPUTED_VALUE"""),"developed")</f>
        <v>developed</v>
      </c>
      <c r="P191" s="5"/>
      <c r="Q191" s="5"/>
    </row>
    <row r="192">
      <c r="A192" s="5" t="str">
        <f>IFERROR(__xludf.DUMMYFUNCTION("""COMPUTED_VALUE"""),"Outbound +")</f>
        <v>Outbound +</v>
      </c>
      <c r="B192" s="5">
        <f>IFERROR(__xludf.DUMMYFUNCTION("""COMPUTED_VALUE"""),842.0)</f>
        <v>842</v>
      </c>
      <c r="C192" s="5" t="str">
        <f>IFERROR(__xludf.DUMMYFUNCTION("""COMPUTED_VALUE"""),"RIZABEY")</f>
        <v>RIZABEY</v>
      </c>
      <c r="D192" s="5">
        <f>IFERROR(__xludf.DUMMYFUNCTION("""COMPUTED_VALUE"""),9197117.0)</f>
        <v>9197117</v>
      </c>
      <c r="E192" s="5" t="str">
        <f>IFERROR(__xludf.DUMMYFUNCTION("""COMPUTED_VALUE"""),"Chornomorsk")</f>
        <v>Chornomorsk</v>
      </c>
      <c r="F192" s="5" t="str">
        <f>IFERROR(__xludf.DUMMYFUNCTION("""COMPUTED_VALUE"""),"Italy")</f>
        <v>Italy</v>
      </c>
      <c r="G192" s="5" t="str">
        <f>IFERROR(__xludf.DUMMYFUNCTION("""COMPUTED_VALUE"""),"Soya beans")</f>
        <v>Soya beans</v>
      </c>
      <c r="H192" s="6">
        <f>IFERROR(__xludf.DUMMYFUNCTION("""COMPUTED_VALUE"""),15746.0)</f>
        <v>15746</v>
      </c>
      <c r="I192" s="7">
        <f>IFERROR(__xludf.DUMMYFUNCTION("""COMPUTED_VALUE"""),45009.0)</f>
        <v>45009</v>
      </c>
      <c r="J192" s="7">
        <f>IFERROR(__xludf.DUMMYFUNCTION("""COMPUTED_VALUE"""),45018.0)</f>
        <v>45018</v>
      </c>
      <c r="K192" s="5" t="str">
        <f>IFERROR(__xludf.DUMMYFUNCTION("""COMPUTED_VALUE"""),"high-income")</f>
        <v>high-income</v>
      </c>
      <c r="L192" s="5" t="str">
        <f>IFERROR(__xludf.DUMMYFUNCTION("""COMPUTED_VALUE"""),"Panama")</f>
        <v>Panama</v>
      </c>
      <c r="M192" s="5" t="str">
        <f>IFERROR(__xludf.DUMMYFUNCTION("""COMPUTED_VALUE"""),"Europe &amp; Central Asia")</f>
        <v>Europe &amp; Central Asia</v>
      </c>
      <c r="N192" s="5" t="str">
        <f>IFERROR(__xludf.DUMMYFUNCTION("""COMPUTED_VALUE"""),"Western Europe and Others")</f>
        <v>Western Europe and Others</v>
      </c>
      <c r="O192" s="5" t="str">
        <f>IFERROR(__xludf.DUMMYFUNCTION("""COMPUTED_VALUE"""),"developed")</f>
        <v>developed</v>
      </c>
      <c r="P192" s="5"/>
      <c r="Q192" s="5"/>
    </row>
    <row r="193">
      <c r="A193" s="5" t="str">
        <f>IFERROR(__xludf.DUMMYFUNCTION("""COMPUTED_VALUE"""),"Outbound")</f>
        <v>Outbound</v>
      </c>
      <c r="B193" s="5">
        <f>IFERROR(__xludf.DUMMYFUNCTION("""COMPUTED_VALUE"""),841.0)</f>
        <v>841</v>
      </c>
      <c r="C193" s="5" t="str">
        <f>IFERROR(__xludf.DUMMYFUNCTION("""COMPUTED_VALUE"""),"NERAKI")</f>
        <v>NERAKI</v>
      </c>
      <c r="D193" s="5">
        <f>IFERROR(__xludf.DUMMYFUNCTION("""COMPUTED_VALUE"""),9145712.0)</f>
        <v>9145712</v>
      </c>
      <c r="E193" s="5" t="str">
        <f>IFERROR(__xludf.DUMMYFUNCTION("""COMPUTED_VALUE"""),"Odesa")</f>
        <v>Odesa</v>
      </c>
      <c r="F193" s="5" t="str">
        <f>IFERROR(__xludf.DUMMYFUNCTION("""COMPUTED_VALUE"""),"Tunisia")</f>
        <v>Tunisia</v>
      </c>
      <c r="G193" s="5" t="str">
        <f>IFERROR(__xludf.DUMMYFUNCTION("""COMPUTED_VALUE"""),"Corn")</f>
        <v>Corn</v>
      </c>
      <c r="H193" s="6">
        <f>IFERROR(__xludf.DUMMYFUNCTION("""COMPUTED_VALUE"""),27000.0)</f>
        <v>27000</v>
      </c>
      <c r="I193" s="7">
        <f>IFERROR(__xludf.DUMMYFUNCTION("""COMPUTED_VALUE"""),45009.0)</f>
        <v>45009</v>
      </c>
      <c r="J193" s="7">
        <f>IFERROR(__xludf.DUMMYFUNCTION("""COMPUTED_VALUE"""),45020.0)</f>
        <v>45020</v>
      </c>
      <c r="K193" s="5" t="str">
        <f>IFERROR(__xludf.DUMMYFUNCTION("""COMPUTED_VALUE"""),"lower-middle income")</f>
        <v>lower-middle income</v>
      </c>
      <c r="L193" s="5" t="str">
        <f>IFERROR(__xludf.DUMMYFUNCTION("""COMPUTED_VALUE"""),"Panama")</f>
        <v>Panama</v>
      </c>
      <c r="M193" s="5" t="str">
        <f>IFERROR(__xludf.DUMMYFUNCTION("""COMPUTED_VALUE"""),"Middle East &amp; North Africa")</f>
        <v>Middle East &amp; North Africa</v>
      </c>
      <c r="N193" s="5" t="str">
        <f>IFERROR(__xludf.DUMMYFUNCTION("""COMPUTED_VALUE"""),"Africa")</f>
        <v>Africa</v>
      </c>
      <c r="O193" s="5" t="str">
        <f>IFERROR(__xludf.DUMMYFUNCTION("""COMPUTED_VALUE"""),"developing")</f>
        <v>developing</v>
      </c>
      <c r="P193" s="5"/>
      <c r="Q193" s="5"/>
    </row>
    <row r="194">
      <c r="A194" s="5" t="str">
        <f>IFERROR(__xludf.DUMMYFUNCTION("""COMPUTED_VALUE"""),"Outbound")</f>
        <v>Outbound</v>
      </c>
      <c r="B194" s="5">
        <f>IFERROR(__xludf.DUMMYFUNCTION("""COMPUTED_VALUE"""),840.0)</f>
        <v>840</v>
      </c>
      <c r="C194" s="5" t="str">
        <f>IFERROR(__xludf.DUMMYFUNCTION("""COMPUTED_VALUE"""),"AMARILLO")</f>
        <v>AMARILLO</v>
      </c>
      <c r="D194" s="5">
        <f>IFERROR(__xludf.DUMMYFUNCTION("""COMPUTED_VALUE"""),9180011.0)</f>
        <v>9180011</v>
      </c>
      <c r="E194" s="5" t="str">
        <f>IFERROR(__xludf.DUMMYFUNCTION("""COMPUTED_VALUE"""),"Odesa")</f>
        <v>Odesa</v>
      </c>
      <c r="F194" s="5" t="str">
        <f>IFERROR(__xludf.DUMMYFUNCTION("""COMPUTED_VALUE"""),"Egypt")</f>
        <v>Egypt</v>
      </c>
      <c r="G194" s="5" t="str">
        <f>IFERROR(__xludf.DUMMYFUNCTION("""COMPUTED_VALUE"""),"Corn")</f>
        <v>Corn</v>
      </c>
      <c r="H194" s="6">
        <f>IFERROR(__xludf.DUMMYFUNCTION("""COMPUTED_VALUE"""),27000.0)</f>
        <v>27000</v>
      </c>
      <c r="I194" s="7">
        <f>IFERROR(__xludf.DUMMYFUNCTION("""COMPUTED_VALUE"""),45009.0)</f>
        <v>45009</v>
      </c>
      <c r="J194" s="7">
        <f>IFERROR(__xludf.DUMMYFUNCTION("""COMPUTED_VALUE"""),45020.0)</f>
        <v>45020</v>
      </c>
      <c r="K194" s="5" t="str">
        <f>IFERROR(__xludf.DUMMYFUNCTION("""COMPUTED_VALUE"""),"lower-middle income")</f>
        <v>lower-middle income</v>
      </c>
      <c r="L194" s="5" t="str">
        <f>IFERROR(__xludf.DUMMYFUNCTION("""COMPUTED_VALUE"""),"Panama")</f>
        <v>Panama</v>
      </c>
      <c r="M194" s="5" t="str">
        <f>IFERROR(__xludf.DUMMYFUNCTION("""COMPUTED_VALUE"""),"Middle East &amp; North Africa")</f>
        <v>Middle East &amp; North Africa</v>
      </c>
      <c r="N194" s="5" t="str">
        <f>IFERROR(__xludf.DUMMYFUNCTION("""COMPUTED_VALUE"""),"Africa")</f>
        <v>Africa</v>
      </c>
      <c r="O194" s="5" t="str">
        <f>IFERROR(__xludf.DUMMYFUNCTION("""COMPUTED_VALUE"""),"developing")</f>
        <v>developing</v>
      </c>
      <c r="P194" s="5"/>
      <c r="Q194" s="5"/>
    </row>
    <row r="195">
      <c r="A195" s="5" t="str">
        <f>IFERROR(__xludf.DUMMYFUNCTION("""COMPUTED_VALUE"""),"Outbound")</f>
        <v>Outbound</v>
      </c>
      <c r="B195" s="5">
        <f>IFERROR(__xludf.DUMMYFUNCTION("""COMPUTED_VALUE"""),839.0)</f>
        <v>839</v>
      </c>
      <c r="C195" s="5" t="str">
        <f>IFERROR(__xludf.DUMMYFUNCTION("""COMPUTED_VALUE"""),"TAILWINDS")</f>
        <v>TAILWINDS</v>
      </c>
      <c r="D195" s="5">
        <f>IFERROR(__xludf.DUMMYFUNCTION("""COMPUTED_VALUE"""),9283992.0)</f>
        <v>9283992</v>
      </c>
      <c r="E195" s="5" t="str">
        <f>IFERROR(__xludf.DUMMYFUNCTION("""COMPUTED_VALUE"""),"Yuzhny/Pivdennyi")</f>
        <v>Yuzhny/Pivdennyi</v>
      </c>
      <c r="F195" s="5" t="str">
        <f>IFERROR(__xludf.DUMMYFUNCTION("""COMPUTED_VALUE"""),"China")</f>
        <v>China</v>
      </c>
      <c r="G195" s="5" t="str">
        <f>IFERROR(__xludf.DUMMYFUNCTION("""COMPUTED_VALUE"""),"Corn")</f>
        <v>Corn</v>
      </c>
      <c r="H195" s="6">
        <f>IFERROR(__xludf.DUMMYFUNCTION("""COMPUTED_VALUE"""),66000.0)</f>
        <v>66000</v>
      </c>
      <c r="I195" s="7">
        <f>IFERROR(__xludf.DUMMYFUNCTION("""COMPUTED_VALUE"""),45008.0)</f>
        <v>45008</v>
      </c>
      <c r="J195" s="7">
        <f>IFERROR(__xludf.DUMMYFUNCTION("""COMPUTED_VALUE"""),45015.0)</f>
        <v>45015</v>
      </c>
      <c r="K195" s="5" t="str">
        <f>IFERROR(__xludf.DUMMYFUNCTION("""COMPUTED_VALUE"""),"upper-middle-income")</f>
        <v>upper-middle-income</v>
      </c>
      <c r="L195" s="5" t="str">
        <f>IFERROR(__xludf.DUMMYFUNCTION("""COMPUTED_VALUE"""),"Liberia")</f>
        <v>Liberia</v>
      </c>
      <c r="M195" s="5" t="str">
        <f>IFERROR(__xludf.DUMMYFUNCTION("""COMPUTED_VALUE"""),"East Asia &amp; Pacific")</f>
        <v>East Asia &amp; Pacific</v>
      </c>
      <c r="N195" s="5" t="str">
        <f>IFERROR(__xludf.DUMMYFUNCTION("""COMPUTED_VALUE"""),"Asia-Pacific")</f>
        <v>Asia-Pacific</v>
      </c>
      <c r="O195" s="5" t="str">
        <f>IFERROR(__xludf.DUMMYFUNCTION("""COMPUTED_VALUE"""),"developing")</f>
        <v>developing</v>
      </c>
      <c r="P195" s="5"/>
      <c r="Q195" s="5"/>
    </row>
    <row r="196">
      <c r="A196" s="5" t="str">
        <f>IFERROR(__xludf.DUMMYFUNCTION("""COMPUTED_VALUE"""),"Outbound")</f>
        <v>Outbound</v>
      </c>
      <c r="B196" s="5">
        <f>IFERROR(__xludf.DUMMYFUNCTION("""COMPUTED_VALUE"""),838.0)</f>
        <v>838</v>
      </c>
      <c r="C196" s="5" t="str">
        <f>IFERROR(__xludf.DUMMYFUNCTION("""COMPUTED_VALUE"""),"MR TRADER")</f>
        <v>MR TRADER</v>
      </c>
      <c r="D196" s="5">
        <f>IFERROR(__xludf.DUMMYFUNCTION("""COMPUTED_VALUE"""),9084255.0)</f>
        <v>9084255</v>
      </c>
      <c r="E196" s="5" t="str">
        <f>IFERROR(__xludf.DUMMYFUNCTION("""COMPUTED_VALUE"""),"Odesa")</f>
        <v>Odesa</v>
      </c>
      <c r="F196" s="5" t="str">
        <f>IFERROR(__xludf.DUMMYFUNCTION("""COMPUTED_VALUE"""),"Türkiye")</f>
        <v>Türkiye</v>
      </c>
      <c r="G196" s="5" t="str">
        <f>IFERROR(__xludf.DUMMYFUNCTION("""COMPUTED_VALUE"""),"Wheat")</f>
        <v>Wheat</v>
      </c>
      <c r="H196" s="6">
        <f>IFERROR(__xludf.DUMMYFUNCTION("""COMPUTED_VALUE"""),17200.0)</f>
        <v>17200</v>
      </c>
      <c r="I196" s="7">
        <f>IFERROR(__xludf.DUMMYFUNCTION("""COMPUTED_VALUE"""),45008.0)</f>
        <v>45008</v>
      </c>
      <c r="J196" s="7">
        <f>IFERROR(__xludf.DUMMYFUNCTION("""COMPUTED_VALUE"""),45019.0)</f>
        <v>45019</v>
      </c>
      <c r="K196" s="5" t="str">
        <f>IFERROR(__xludf.DUMMYFUNCTION("""COMPUTED_VALUE"""),"upper-middle-income")</f>
        <v>upper-middle-income</v>
      </c>
      <c r="L196" s="5" t="str">
        <f>IFERROR(__xludf.DUMMYFUNCTION("""COMPUTED_VALUE"""),"Sierra Leone")</f>
        <v>Sierra Leone</v>
      </c>
      <c r="M196" s="5" t="str">
        <f>IFERROR(__xludf.DUMMYFUNCTION("""COMPUTED_VALUE"""),"Europe &amp; Central Asia")</f>
        <v>Europe &amp; Central Asia</v>
      </c>
      <c r="N196" s="5" t="str">
        <f>IFERROR(__xludf.DUMMYFUNCTION("""COMPUTED_VALUE"""),"Asia-Pacific")</f>
        <v>Asia-Pacific</v>
      </c>
      <c r="O196" s="5" t="str">
        <f>IFERROR(__xludf.DUMMYFUNCTION("""COMPUTED_VALUE"""),"developing")</f>
        <v>developing</v>
      </c>
      <c r="P196" s="5"/>
      <c r="Q196" s="5"/>
    </row>
    <row r="197">
      <c r="A197" s="5" t="str">
        <f>IFERROR(__xludf.DUMMYFUNCTION("""COMPUTED_VALUE"""),"Outbound")</f>
        <v>Outbound</v>
      </c>
      <c r="B197" s="5">
        <f>IFERROR(__xludf.DUMMYFUNCTION("""COMPUTED_VALUE"""),837.0)</f>
        <v>837</v>
      </c>
      <c r="C197" s="5" t="str">
        <f>IFERROR(__xludf.DUMMYFUNCTION("""COMPUTED_VALUE"""),"MOAYAD Y")</f>
        <v>MOAYAD Y</v>
      </c>
      <c r="D197" s="5">
        <f>IFERROR(__xludf.DUMMYFUNCTION("""COMPUTED_VALUE"""),9135482.0)</f>
        <v>9135482</v>
      </c>
      <c r="E197" s="5" t="str">
        <f>IFERROR(__xludf.DUMMYFUNCTION("""COMPUTED_VALUE"""),"Yuzhny/Pivdennyi")</f>
        <v>Yuzhny/Pivdennyi</v>
      </c>
      <c r="F197" s="5" t="str">
        <f>IFERROR(__xludf.DUMMYFUNCTION("""COMPUTED_VALUE"""),"Türkiye")</f>
        <v>Türkiye</v>
      </c>
      <c r="G197" s="5" t="str">
        <f>IFERROR(__xludf.DUMMYFUNCTION("""COMPUTED_VALUE"""),"Peas")</f>
        <v>Peas</v>
      </c>
      <c r="H197" s="6">
        <f>IFERROR(__xludf.DUMMYFUNCTION("""COMPUTED_VALUE"""),22800.0)</f>
        <v>22800</v>
      </c>
      <c r="I197" s="7">
        <f>IFERROR(__xludf.DUMMYFUNCTION("""COMPUTED_VALUE"""),45008.0)</f>
        <v>45008</v>
      </c>
      <c r="J197" s="7">
        <f>IFERROR(__xludf.DUMMYFUNCTION("""COMPUTED_VALUE"""),45018.0)</f>
        <v>45018</v>
      </c>
      <c r="K197" s="5" t="str">
        <f>IFERROR(__xludf.DUMMYFUNCTION("""COMPUTED_VALUE"""),"upper-middle-income")</f>
        <v>upper-middle-income</v>
      </c>
      <c r="L197" s="5" t="str">
        <f>IFERROR(__xludf.DUMMYFUNCTION("""COMPUTED_VALUE"""),"Comoros")</f>
        <v>Comoros</v>
      </c>
      <c r="M197" s="5" t="str">
        <f>IFERROR(__xludf.DUMMYFUNCTION("""COMPUTED_VALUE"""),"Europe &amp; Central Asia")</f>
        <v>Europe &amp; Central Asia</v>
      </c>
      <c r="N197" s="5" t="str">
        <f>IFERROR(__xludf.DUMMYFUNCTION("""COMPUTED_VALUE"""),"Asia-Pacific")</f>
        <v>Asia-Pacific</v>
      </c>
      <c r="O197" s="5" t="str">
        <f>IFERROR(__xludf.DUMMYFUNCTION("""COMPUTED_VALUE"""),"developing")</f>
        <v>developing</v>
      </c>
      <c r="P197" s="5"/>
      <c r="Q197" s="5"/>
    </row>
    <row r="198">
      <c r="A198" s="5" t="str">
        <f>IFERROR(__xludf.DUMMYFUNCTION("""COMPUTED_VALUE"""),"Outbound")</f>
        <v>Outbound</v>
      </c>
      <c r="B198" s="5">
        <f>IFERROR(__xludf.DUMMYFUNCTION("""COMPUTED_VALUE"""),836.0)</f>
        <v>836</v>
      </c>
      <c r="C198" s="5" t="str">
        <f>IFERROR(__xludf.DUMMYFUNCTION("""COMPUTED_VALUE"""),"JAOHAR ADAM")</f>
        <v>JAOHAR ADAM</v>
      </c>
      <c r="D198" s="5">
        <f>IFERROR(__xludf.DUMMYFUNCTION("""COMPUTED_VALUE"""),9276743.0)</f>
        <v>9276743</v>
      </c>
      <c r="E198" s="5" t="str">
        <f>IFERROR(__xludf.DUMMYFUNCTION("""COMPUTED_VALUE"""),"Yuzhny/Pivdennyi")</f>
        <v>Yuzhny/Pivdennyi</v>
      </c>
      <c r="F198" s="5" t="str">
        <f>IFERROR(__xludf.DUMMYFUNCTION("""COMPUTED_VALUE"""),"Italy")</f>
        <v>Italy</v>
      </c>
      <c r="G198" s="5" t="str">
        <f>IFERROR(__xludf.DUMMYFUNCTION("""COMPUTED_VALUE"""),"Corn")</f>
        <v>Corn</v>
      </c>
      <c r="H198" s="6">
        <f>IFERROR(__xludf.DUMMYFUNCTION("""COMPUTED_VALUE"""),27500.0)</f>
        <v>27500</v>
      </c>
      <c r="I198" s="7">
        <f>IFERROR(__xludf.DUMMYFUNCTION("""COMPUTED_VALUE"""),45008.0)</f>
        <v>45008</v>
      </c>
      <c r="J198" s="7">
        <f>IFERROR(__xludf.DUMMYFUNCTION("""COMPUTED_VALUE"""),45017.0)</f>
        <v>45017</v>
      </c>
      <c r="K198" s="5" t="str">
        <f>IFERROR(__xludf.DUMMYFUNCTION("""COMPUTED_VALUE"""),"high-income")</f>
        <v>high-income</v>
      </c>
      <c r="L198" s="5" t="str">
        <f>IFERROR(__xludf.DUMMYFUNCTION("""COMPUTED_VALUE"""),"Barbados")</f>
        <v>Barbados</v>
      </c>
      <c r="M198" s="5" t="str">
        <f>IFERROR(__xludf.DUMMYFUNCTION("""COMPUTED_VALUE"""),"Europe &amp; Central Asia")</f>
        <v>Europe &amp; Central Asia</v>
      </c>
      <c r="N198" s="5" t="str">
        <f>IFERROR(__xludf.DUMMYFUNCTION("""COMPUTED_VALUE"""),"Western Europe and Others")</f>
        <v>Western Europe and Others</v>
      </c>
      <c r="O198" s="5" t="str">
        <f>IFERROR(__xludf.DUMMYFUNCTION("""COMPUTED_VALUE"""),"developed")</f>
        <v>developed</v>
      </c>
      <c r="P198" s="5"/>
      <c r="Q198" s="5"/>
    </row>
    <row r="199">
      <c r="A199" s="5" t="str">
        <f>IFERROR(__xludf.DUMMYFUNCTION("""COMPUTED_VALUE"""),"Outbound")</f>
        <v>Outbound</v>
      </c>
      <c r="B199" s="5">
        <f>IFERROR(__xludf.DUMMYFUNCTION("""COMPUTED_VALUE"""),835.0)</f>
        <v>835</v>
      </c>
      <c r="C199" s="5" t="str">
        <f>IFERROR(__xludf.DUMMYFUNCTION("""COMPUTED_VALUE"""),"DS MANATEE")</f>
        <v>DS MANATEE</v>
      </c>
      <c r="D199" s="5">
        <f>IFERROR(__xludf.DUMMYFUNCTION("""COMPUTED_VALUE"""),9255189.0)</f>
        <v>9255189</v>
      </c>
      <c r="E199" s="5" t="str">
        <f>IFERROR(__xludf.DUMMYFUNCTION("""COMPUTED_VALUE"""),"Odesa")</f>
        <v>Odesa</v>
      </c>
      <c r="F199" s="5" t="str">
        <f>IFERROR(__xludf.DUMMYFUNCTION("""COMPUTED_VALUE"""),"Morocco")</f>
        <v>Morocco</v>
      </c>
      <c r="G199" s="5" t="str">
        <f>IFERROR(__xludf.DUMMYFUNCTION("""COMPUTED_VALUE"""),"Sunflower meal")</f>
        <v>Sunflower meal</v>
      </c>
      <c r="H199" s="6">
        <f>IFERROR(__xludf.DUMMYFUNCTION("""COMPUTED_VALUE"""),19800.0)</f>
        <v>19800</v>
      </c>
      <c r="I199" s="7">
        <f>IFERROR(__xludf.DUMMYFUNCTION("""COMPUTED_VALUE"""),45008.0)</f>
        <v>45008</v>
      </c>
      <c r="J199" s="7">
        <f>IFERROR(__xludf.DUMMYFUNCTION("""COMPUTED_VALUE"""),45016.0)</f>
        <v>45016</v>
      </c>
      <c r="K199" s="5" t="str">
        <f>IFERROR(__xludf.DUMMYFUNCTION("""COMPUTED_VALUE"""),"lower-middle income")</f>
        <v>lower-middle income</v>
      </c>
      <c r="L199" s="5" t="str">
        <f>IFERROR(__xludf.DUMMYFUNCTION("""COMPUTED_VALUE"""),"Marshall Islands")</f>
        <v>Marshall Islands</v>
      </c>
      <c r="M199" s="5" t="str">
        <f>IFERROR(__xludf.DUMMYFUNCTION("""COMPUTED_VALUE"""),"Middle East &amp; North Africa")</f>
        <v>Middle East &amp; North Africa</v>
      </c>
      <c r="N199" s="5" t="str">
        <f>IFERROR(__xludf.DUMMYFUNCTION("""COMPUTED_VALUE"""),"Africa")</f>
        <v>Africa</v>
      </c>
      <c r="O199" s="5" t="str">
        <f>IFERROR(__xludf.DUMMYFUNCTION("""COMPUTED_VALUE"""),"developing")</f>
        <v>developing</v>
      </c>
      <c r="P199" s="5"/>
      <c r="Q199" s="5"/>
    </row>
    <row r="200">
      <c r="A200" s="5" t="str">
        <f>IFERROR(__xludf.DUMMYFUNCTION("""COMPUTED_VALUE"""),"Outbound")</f>
        <v>Outbound</v>
      </c>
      <c r="B200" s="5">
        <f>IFERROR(__xludf.DUMMYFUNCTION("""COMPUTED_VALUE"""),834.0)</f>
        <v>834</v>
      </c>
      <c r="C200" s="5" t="str">
        <f>IFERROR(__xludf.DUMMYFUNCTION("""COMPUTED_VALUE"""),"IOANNIS THEO")</f>
        <v>IOANNIS THEO</v>
      </c>
      <c r="D200" s="5">
        <f>IFERROR(__xludf.DUMMYFUNCTION("""COMPUTED_VALUE"""),9565170.0)</f>
        <v>9565170</v>
      </c>
      <c r="E200" s="5" t="str">
        <f>IFERROR(__xludf.DUMMYFUNCTION("""COMPUTED_VALUE"""),"Odesa")</f>
        <v>Odesa</v>
      </c>
      <c r="F200" s="5" t="str">
        <f>IFERROR(__xludf.DUMMYFUNCTION("""COMPUTED_VALUE"""),"Viet Nam")</f>
        <v>Viet Nam</v>
      </c>
      <c r="G200" s="5" t="str">
        <f>IFERROR(__xludf.DUMMYFUNCTION("""COMPUTED_VALUE"""),"Wheat")</f>
        <v>Wheat</v>
      </c>
      <c r="H200" s="6">
        <f>IFERROR(__xludf.DUMMYFUNCTION("""COMPUTED_VALUE"""),52000.0)</f>
        <v>52000</v>
      </c>
      <c r="I200" s="7">
        <f>IFERROR(__xludf.DUMMYFUNCTION("""COMPUTED_VALUE"""),45007.0)</f>
        <v>45007</v>
      </c>
      <c r="J200" s="7">
        <f>IFERROR(__xludf.DUMMYFUNCTION("""COMPUTED_VALUE"""),45019.0)</f>
        <v>45019</v>
      </c>
      <c r="K200" s="5" t="str">
        <f>IFERROR(__xludf.DUMMYFUNCTION("""COMPUTED_VALUE"""),"lower-middle income")</f>
        <v>lower-middle income</v>
      </c>
      <c r="L200" s="5" t="str">
        <f>IFERROR(__xludf.DUMMYFUNCTION("""COMPUTED_VALUE"""),"Marshall Islands")</f>
        <v>Marshall Islands</v>
      </c>
      <c r="M200" s="5" t="str">
        <f>IFERROR(__xludf.DUMMYFUNCTION("""COMPUTED_VALUE"""),"East Asia &amp; Pacific")</f>
        <v>East Asia &amp; Pacific</v>
      </c>
      <c r="N200" s="5" t="str">
        <f>IFERROR(__xludf.DUMMYFUNCTION("""COMPUTED_VALUE"""),"Asia-Pacific")</f>
        <v>Asia-Pacific</v>
      </c>
      <c r="O200" s="5" t="str">
        <f>IFERROR(__xludf.DUMMYFUNCTION("""COMPUTED_VALUE"""),"developing")</f>
        <v>developing</v>
      </c>
      <c r="P200" s="5"/>
      <c r="Q200" s="5"/>
    </row>
    <row r="201">
      <c r="A201" s="5" t="str">
        <f>IFERROR(__xludf.DUMMYFUNCTION("""COMPUTED_VALUE"""),"Outbound")</f>
        <v>Outbound</v>
      </c>
      <c r="B201" s="5">
        <f>IFERROR(__xludf.DUMMYFUNCTION("""COMPUTED_VALUE"""),833.0)</f>
        <v>833</v>
      </c>
      <c r="C201" s="5" t="str">
        <f>IFERROR(__xludf.DUMMYFUNCTION("""COMPUTED_VALUE"""),"DENIZ M (WFP)")</f>
        <v>DENIZ M (WFP)</v>
      </c>
      <c r="D201" s="5">
        <f>IFERROR(__xludf.DUMMYFUNCTION("""COMPUTED_VALUE"""),9450703.0)</f>
        <v>9450703</v>
      </c>
      <c r="E201" s="5" t="str">
        <f>IFERROR(__xludf.DUMMYFUNCTION("""COMPUTED_VALUE"""),"Odesa")</f>
        <v>Odesa</v>
      </c>
      <c r="F201" s="5" t="str">
        <f>IFERROR(__xludf.DUMMYFUNCTION("""COMPUTED_VALUE"""),"Ethiopia")</f>
        <v>Ethiopia</v>
      </c>
      <c r="G201" s="5" t="str">
        <f>IFERROR(__xludf.DUMMYFUNCTION("""COMPUTED_VALUE"""),"Wheat")</f>
        <v>Wheat</v>
      </c>
      <c r="H201" s="6">
        <f>IFERROR(__xludf.DUMMYFUNCTION("""COMPUTED_VALUE"""),30000.0)</f>
        <v>30000</v>
      </c>
      <c r="I201" s="7">
        <f>IFERROR(__xludf.DUMMYFUNCTION("""COMPUTED_VALUE"""),45007.0)</f>
        <v>45007</v>
      </c>
      <c r="J201" s="7">
        <f>IFERROR(__xludf.DUMMYFUNCTION("""COMPUTED_VALUE"""),45017.0)</f>
        <v>45017</v>
      </c>
      <c r="K201" s="5" t="str">
        <f>IFERROR(__xludf.DUMMYFUNCTION("""COMPUTED_VALUE"""),"low-income")</f>
        <v>low-income</v>
      </c>
      <c r="L201" s="5" t="str">
        <f>IFERROR(__xludf.DUMMYFUNCTION("""COMPUTED_VALUE"""),"Panama")</f>
        <v>Panama</v>
      </c>
      <c r="M201" s="5" t="str">
        <f>IFERROR(__xludf.DUMMYFUNCTION("""COMPUTED_VALUE"""),"Sub-Saharan Africa")</f>
        <v>Sub-Saharan Africa</v>
      </c>
      <c r="N201" s="5" t="str">
        <f>IFERROR(__xludf.DUMMYFUNCTION("""COMPUTED_VALUE"""),"Africa")</f>
        <v>Africa</v>
      </c>
      <c r="O201" s="5" t="str">
        <f>IFERROR(__xludf.DUMMYFUNCTION("""COMPUTED_VALUE"""),"developing")</f>
        <v>developing</v>
      </c>
      <c r="P201" s="5" t="str">
        <f>IFERROR(__xludf.DUMMYFUNCTION("""COMPUTED_VALUE"""),"WFP")</f>
        <v>WFP</v>
      </c>
      <c r="Q201" s="5"/>
    </row>
    <row r="202">
      <c r="A202" s="5" t="str">
        <f>IFERROR(__xludf.DUMMYFUNCTION("""COMPUTED_VALUE"""),"Outbound")</f>
        <v>Outbound</v>
      </c>
      <c r="B202" s="5">
        <f>IFERROR(__xludf.DUMMYFUNCTION("""COMPUTED_VALUE"""),832.0)</f>
        <v>832</v>
      </c>
      <c r="C202" s="5" t="str">
        <f>IFERROR(__xludf.DUMMYFUNCTION("""COMPUTED_VALUE"""),"BC CALLISTO")</f>
        <v>BC CALLISTO</v>
      </c>
      <c r="D202" s="5">
        <f>IFERROR(__xludf.DUMMYFUNCTION("""COMPUTED_VALUE"""),9400916.0)</f>
        <v>9400916</v>
      </c>
      <c r="E202" s="5" t="str">
        <f>IFERROR(__xludf.DUMMYFUNCTION("""COMPUTED_VALUE"""),"Odesa")</f>
        <v>Odesa</v>
      </c>
      <c r="F202" s="5" t="str">
        <f>IFERROR(__xludf.DUMMYFUNCTION("""COMPUTED_VALUE"""),"Algeria")</f>
        <v>Algeria</v>
      </c>
      <c r="G202" s="5" t="str">
        <f>IFERROR(__xludf.DUMMYFUNCTION("""COMPUTED_VALUE"""),"Wheat")</f>
        <v>Wheat</v>
      </c>
      <c r="H202" s="6">
        <f>IFERROR(__xludf.DUMMYFUNCTION("""COMPUTED_VALUE"""),30450.0)</f>
        <v>30450</v>
      </c>
      <c r="I202" s="7">
        <f>IFERROR(__xludf.DUMMYFUNCTION("""COMPUTED_VALUE"""),45007.0)</f>
        <v>45007</v>
      </c>
      <c r="J202" s="7">
        <f>IFERROR(__xludf.DUMMYFUNCTION("""COMPUTED_VALUE"""),45014.0)</f>
        <v>45014</v>
      </c>
      <c r="K202" s="5" t="str">
        <f>IFERROR(__xludf.DUMMYFUNCTION("""COMPUTED_VALUE"""),"lower-middle income")</f>
        <v>lower-middle income</v>
      </c>
      <c r="L202" s="5" t="str">
        <f>IFERROR(__xludf.DUMMYFUNCTION("""COMPUTED_VALUE"""),"Barbados")</f>
        <v>Barbados</v>
      </c>
      <c r="M202" s="5" t="str">
        <f>IFERROR(__xludf.DUMMYFUNCTION("""COMPUTED_VALUE"""),"Middle East &amp; North Africa")</f>
        <v>Middle East &amp; North Africa</v>
      </c>
      <c r="N202" s="5" t="str">
        <f>IFERROR(__xludf.DUMMYFUNCTION("""COMPUTED_VALUE"""),"Africa")</f>
        <v>Africa</v>
      </c>
      <c r="O202" s="5" t="str">
        <f>IFERROR(__xludf.DUMMYFUNCTION("""COMPUTED_VALUE"""),"developing")</f>
        <v>developing</v>
      </c>
      <c r="P202" s="5"/>
      <c r="Q202" s="5"/>
    </row>
    <row r="203">
      <c r="A203" s="5" t="str">
        <f>IFERROR(__xludf.DUMMYFUNCTION("""COMPUTED_VALUE"""),"Outbound")</f>
        <v>Outbound</v>
      </c>
      <c r="B203" s="5">
        <f>IFERROR(__xludf.DUMMYFUNCTION("""COMPUTED_VALUE"""),831.0)</f>
        <v>831</v>
      </c>
      <c r="C203" s="5" t="str">
        <f>IFERROR(__xludf.DUMMYFUNCTION("""COMPUTED_VALUE"""),"LUGANO")</f>
        <v>LUGANO</v>
      </c>
      <c r="D203" s="5">
        <f>IFERROR(__xludf.DUMMYFUNCTION("""COMPUTED_VALUE"""),9132662.0)</f>
        <v>9132662</v>
      </c>
      <c r="E203" s="5" t="str">
        <f>IFERROR(__xludf.DUMMYFUNCTION("""COMPUTED_VALUE"""),"Odesa")</f>
        <v>Odesa</v>
      </c>
      <c r="F203" s="5" t="str">
        <f>IFERROR(__xludf.DUMMYFUNCTION("""COMPUTED_VALUE"""),"Egypt")</f>
        <v>Egypt</v>
      </c>
      <c r="G203" s="5" t="str">
        <f>IFERROR(__xludf.DUMMYFUNCTION("""COMPUTED_VALUE"""),"Corn")</f>
        <v>Corn</v>
      </c>
      <c r="H203" s="6">
        <f>IFERROR(__xludf.DUMMYFUNCTION("""COMPUTED_VALUE"""),26200.0)</f>
        <v>26200</v>
      </c>
      <c r="I203" s="7">
        <f>IFERROR(__xludf.DUMMYFUNCTION("""COMPUTED_VALUE"""),45006.0)</f>
        <v>45006</v>
      </c>
      <c r="J203" s="7">
        <f>IFERROR(__xludf.DUMMYFUNCTION("""COMPUTED_VALUE"""),45020.0)</f>
        <v>45020</v>
      </c>
      <c r="K203" s="5" t="str">
        <f>IFERROR(__xludf.DUMMYFUNCTION("""COMPUTED_VALUE"""),"lower-middle income")</f>
        <v>lower-middle income</v>
      </c>
      <c r="L203" s="5" t="str">
        <f>IFERROR(__xludf.DUMMYFUNCTION("""COMPUTED_VALUE"""),"Belize")</f>
        <v>Belize</v>
      </c>
      <c r="M203" s="5" t="str">
        <f>IFERROR(__xludf.DUMMYFUNCTION("""COMPUTED_VALUE"""),"Middle East &amp; North Africa")</f>
        <v>Middle East &amp; North Africa</v>
      </c>
      <c r="N203" s="5" t="str">
        <f>IFERROR(__xludf.DUMMYFUNCTION("""COMPUTED_VALUE"""),"Africa")</f>
        <v>Africa</v>
      </c>
      <c r="O203" s="5" t="str">
        <f>IFERROR(__xludf.DUMMYFUNCTION("""COMPUTED_VALUE"""),"developing")</f>
        <v>developing</v>
      </c>
      <c r="P203" s="5"/>
      <c r="Q203" s="5"/>
    </row>
    <row r="204">
      <c r="A204" s="5" t="str">
        <f>IFERROR(__xludf.DUMMYFUNCTION("""COMPUTED_VALUE"""),"Outbound")</f>
        <v>Outbound</v>
      </c>
      <c r="B204" s="5">
        <f>IFERROR(__xludf.DUMMYFUNCTION("""COMPUTED_VALUE"""),830.0)</f>
        <v>830</v>
      </c>
      <c r="C204" s="5" t="str">
        <f>IFERROR(__xludf.DUMMYFUNCTION("""COMPUTED_VALUE"""),"LADY JAMILA")</f>
        <v>LADY JAMILA</v>
      </c>
      <c r="D204" s="5">
        <f>IFERROR(__xludf.DUMMYFUNCTION("""COMPUTED_VALUE"""),9316983.0)</f>
        <v>9316983</v>
      </c>
      <c r="E204" s="5" t="str">
        <f>IFERROR(__xludf.DUMMYFUNCTION("""COMPUTED_VALUE"""),"Chornomorsk")</f>
        <v>Chornomorsk</v>
      </c>
      <c r="F204" s="5" t="str">
        <f>IFERROR(__xludf.DUMMYFUNCTION("""COMPUTED_VALUE"""),"Egypt")</f>
        <v>Egypt</v>
      </c>
      <c r="G204" s="5" t="str">
        <f>IFERROR(__xludf.DUMMYFUNCTION("""COMPUTED_VALUE"""),"Corn")</f>
        <v>Corn</v>
      </c>
      <c r="H204" s="6">
        <f>IFERROR(__xludf.DUMMYFUNCTION("""COMPUTED_VALUE"""),32000.0)</f>
        <v>32000</v>
      </c>
      <c r="I204" s="7">
        <f>IFERROR(__xludf.DUMMYFUNCTION("""COMPUTED_VALUE"""),45006.0)</f>
        <v>45006</v>
      </c>
      <c r="J204" s="7">
        <f>IFERROR(__xludf.DUMMYFUNCTION("""COMPUTED_VALUE"""),45014.0)</f>
        <v>45014</v>
      </c>
      <c r="K204" s="5" t="str">
        <f>IFERROR(__xludf.DUMMYFUNCTION("""COMPUTED_VALUE"""),"lower-middle income")</f>
        <v>lower-middle income</v>
      </c>
      <c r="L204" s="5" t="str">
        <f>IFERROR(__xludf.DUMMYFUNCTION("""COMPUTED_VALUE"""),"Panama")</f>
        <v>Panama</v>
      </c>
      <c r="M204" s="5" t="str">
        <f>IFERROR(__xludf.DUMMYFUNCTION("""COMPUTED_VALUE"""),"Middle East &amp; North Africa")</f>
        <v>Middle East &amp; North Africa</v>
      </c>
      <c r="N204" s="5" t="str">
        <f>IFERROR(__xludf.DUMMYFUNCTION("""COMPUTED_VALUE"""),"Africa")</f>
        <v>Africa</v>
      </c>
      <c r="O204" s="5" t="str">
        <f>IFERROR(__xludf.DUMMYFUNCTION("""COMPUTED_VALUE"""),"developing")</f>
        <v>developing</v>
      </c>
      <c r="P204" s="5"/>
      <c r="Q204" s="5"/>
    </row>
    <row r="205">
      <c r="A205" s="5" t="str">
        <f>IFERROR(__xludf.DUMMYFUNCTION("""COMPUTED_VALUE"""),"Outbound")</f>
        <v>Outbound</v>
      </c>
      <c r="B205" s="5">
        <f>IFERROR(__xludf.DUMMYFUNCTION("""COMPUTED_VALUE"""),829.0)</f>
        <v>829</v>
      </c>
      <c r="C205" s="5" t="str">
        <f>IFERROR(__xludf.DUMMYFUNCTION("""COMPUTED_VALUE"""),"NEW ISLAND")</f>
        <v>NEW ISLAND</v>
      </c>
      <c r="D205" s="5">
        <f>IFERROR(__xludf.DUMMYFUNCTION("""COMPUTED_VALUE"""),9258349.0)</f>
        <v>9258349</v>
      </c>
      <c r="E205" s="5" t="str">
        <f>IFERROR(__xludf.DUMMYFUNCTION("""COMPUTED_VALUE"""),"Chornomorsk")</f>
        <v>Chornomorsk</v>
      </c>
      <c r="F205" s="5" t="str">
        <f>IFERROR(__xludf.DUMMYFUNCTION("""COMPUTED_VALUE"""),"Spain")</f>
        <v>Spain</v>
      </c>
      <c r="G205" s="5" t="str">
        <f>IFERROR(__xludf.DUMMYFUNCTION("""COMPUTED_VALUE"""),"Corn")</f>
        <v>Corn</v>
      </c>
      <c r="H205" s="6">
        <f>IFERROR(__xludf.DUMMYFUNCTION("""COMPUTED_VALUE"""),42000.0)</f>
        <v>42000</v>
      </c>
      <c r="I205" s="7">
        <f>IFERROR(__xludf.DUMMYFUNCTION("""COMPUTED_VALUE"""),45005.0)</f>
        <v>45005</v>
      </c>
      <c r="J205" s="7">
        <f>IFERROR(__xludf.DUMMYFUNCTION("""COMPUTED_VALUE"""),45014.0)</f>
        <v>45014</v>
      </c>
      <c r="K205" s="5" t="str">
        <f>IFERROR(__xludf.DUMMYFUNCTION("""COMPUTED_VALUE"""),"high-income")</f>
        <v>high-income</v>
      </c>
      <c r="L205" s="5" t="str">
        <f>IFERROR(__xludf.DUMMYFUNCTION("""COMPUTED_VALUE"""),"Malta")</f>
        <v>Malta</v>
      </c>
      <c r="M205" s="5" t="str">
        <f>IFERROR(__xludf.DUMMYFUNCTION("""COMPUTED_VALUE"""),"Europe &amp; Central Asia")</f>
        <v>Europe &amp; Central Asia</v>
      </c>
      <c r="N205" s="5" t="str">
        <f>IFERROR(__xludf.DUMMYFUNCTION("""COMPUTED_VALUE"""),"Western Europe and Others")</f>
        <v>Western Europe and Others</v>
      </c>
      <c r="O205" s="5" t="str">
        <f>IFERROR(__xludf.DUMMYFUNCTION("""COMPUTED_VALUE"""),"developed")</f>
        <v>developed</v>
      </c>
      <c r="P205" s="5"/>
      <c r="Q205" s="5"/>
    </row>
    <row r="206">
      <c r="A206" s="5" t="str">
        <f>IFERROR(__xludf.DUMMYFUNCTION("""COMPUTED_VALUE"""),"Outbound")</f>
        <v>Outbound</v>
      </c>
      <c r="B206" s="5">
        <f>IFERROR(__xludf.DUMMYFUNCTION("""COMPUTED_VALUE"""),828.0)</f>
        <v>828</v>
      </c>
      <c r="C206" s="5" t="str">
        <f>IFERROR(__xludf.DUMMYFUNCTION("""COMPUTED_VALUE"""),"AQUA LADY")</f>
        <v>AQUA LADY</v>
      </c>
      <c r="D206" s="5">
        <f>IFERROR(__xludf.DUMMYFUNCTION("""COMPUTED_VALUE"""),9288435.0)</f>
        <v>9288435</v>
      </c>
      <c r="E206" s="5" t="str">
        <f>IFERROR(__xludf.DUMMYFUNCTION("""COMPUTED_VALUE"""),"Yuzhny/Pivdennyi")</f>
        <v>Yuzhny/Pivdennyi</v>
      </c>
      <c r="F206" s="5" t="str">
        <f>IFERROR(__xludf.DUMMYFUNCTION("""COMPUTED_VALUE"""),"China")</f>
        <v>China</v>
      </c>
      <c r="G206" s="5" t="str">
        <f>IFERROR(__xludf.DUMMYFUNCTION("""COMPUTED_VALUE"""),"Corn")</f>
        <v>Corn</v>
      </c>
      <c r="H206" s="6">
        <f>IFERROR(__xludf.DUMMYFUNCTION("""COMPUTED_VALUE"""),47000.0)</f>
        <v>47000</v>
      </c>
      <c r="I206" s="7">
        <f>IFERROR(__xludf.DUMMYFUNCTION("""COMPUTED_VALUE"""),45005.0)</f>
        <v>45005</v>
      </c>
      <c r="J206" s="7">
        <f>IFERROR(__xludf.DUMMYFUNCTION("""COMPUTED_VALUE"""),45014.0)</f>
        <v>45014</v>
      </c>
      <c r="K206" s="5" t="str">
        <f>IFERROR(__xludf.DUMMYFUNCTION("""COMPUTED_VALUE"""),"upper-middle-income")</f>
        <v>upper-middle-income</v>
      </c>
      <c r="L206" s="5" t="str">
        <f>IFERROR(__xludf.DUMMYFUNCTION("""COMPUTED_VALUE"""),"Malta")</f>
        <v>Malta</v>
      </c>
      <c r="M206" s="5" t="str">
        <f>IFERROR(__xludf.DUMMYFUNCTION("""COMPUTED_VALUE"""),"East Asia &amp; Pacific")</f>
        <v>East Asia &amp; Pacific</v>
      </c>
      <c r="N206" s="5" t="str">
        <f>IFERROR(__xludf.DUMMYFUNCTION("""COMPUTED_VALUE"""),"Asia-Pacific")</f>
        <v>Asia-Pacific</v>
      </c>
      <c r="O206" s="5" t="str">
        <f>IFERROR(__xludf.DUMMYFUNCTION("""COMPUTED_VALUE"""),"developing")</f>
        <v>developing</v>
      </c>
      <c r="P206" s="5"/>
      <c r="Q206" s="5"/>
    </row>
    <row r="207">
      <c r="A207" s="5" t="str">
        <f>IFERROR(__xludf.DUMMYFUNCTION("""COMPUTED_VALUE"""),"Outbound +")</f>
        <v>Outbound +</v>
      </c>
      <c r="B207" s="5">
        <f>IFERROR(__xludf.DUMMYFUNCTION("""COMPUTED_VALUE"""),828.0)</f>
        <v>828</v>
      </c>
      <c r="C207" s="5" t="str">
        <f>IFERROR(__xludf.DUMMYFUNCTION("""COMPUTED_VALUE"""),"AQUA LADY")</f>
        <v>AQUA LADY</v>
      </c>
      <c r="D207" s="5">
        <f>IFERROR(__xludf.DUMMYFUNCTION("""COMPUTED_VALUE"""),9288435.0)</f>
        <v>9288435</v>
      </c>
      <c r="E207" s="5" t="str">
        <f>IFERROR(__xludf.DUMMYFUNCTION("""COMPUTED_VALUE"""),"Yuzhny/Pivdennyi")</f>
        <v>Yuzhny/Pivdennyi</v>
      </c>
      <c r="F207" s="5" t="str">
        <f>IFERROR(__xludf.DUMMYFUNCTION("""COMPUTED_VALUE"""),"China")</f>
        <v>China</v>
      </c>
      <c r="G207" s="5" t="str">
        <f>IFERROR(__xludf.DUMMYFUNCTION("""COMPUTED_VALUE"""),"Barley")</f>
        <v>Barley</v>
      </c>
      <c r="H207" s="6">
        <f>IFERROR(__xludf.DUMMYFUNCTION("""COMPUTED_VALUE"""),18400.0)</f>
        <v>18400</v>
      </c>
      <c r="I207" s="7">
        <f>IFERROR(__xludf.DUMMYFUNCTION("""COMPUTED_VALUE"""),45005.0)</f>
        <v>45005</v>
      </c>
      <c r="J207" s="7">
        <f>IFERROR(__xludf.DUMMYFUNCTION("""COMPUTED_VALUE"""),45014.0)</f>
        <v>45014</v>
      </c>
      <c r="K207" s="5" t="str">
        <f>IFERROR(__xludf.DUMMYFUNCTION("""COMPUTED_VALUE"""),"upper-middle-income")</f>
        <v>upper-middle-income</v>
      </c>
      <c r="L207" s="5" t="str">
        <f>IFERROR(__xludf.DUMMYFUNCTION("""COMPUTED_VALUE"""),"Malta")</f>
        <v>Malta</v>
      </c>
      <c r="M207" s="5" t="str">
        <f>IFERROR(__xludf.DUMMYFUNCTION("""COMPUTED_VALUE"""),"East Asia &amp; Pacific")</f>
        <v>East Asia &amp; Pacific</v>
      </c>
      <c r="N207" s="5" t="str">
        <f>IFERROR(__xludf.DUMMYFUNCTION("""COMPUTED_VALUE"""),"Asia-Pacific")</f>
        <v>Asia-Pacific</v>
      </c>
      <c r="O207" s="5" t="str">
        <f>IFERROR(__xludf.DUMMYFUNCTION("""COMPUTED_VALUE"""),"developing")</f>
        <v>developing</v>
      </c>
      <c r="P207" s="5"/>
      <c r="Q207" s="5"/>
    </row>
    <row r="208">
      <c r="A208" s="5" t="str">
        <f>IFERROR(__xludf.DUMMYFUNCTION("""COMPUTED_VALUE"""),"Outbound")</f>
        <v>Outbound</v>
      </c>
      <c r="B208" s="5">
        <f>IFERROR(__xludf.DUMMYFUNCTION("""COMPUTED_VALUE"""),827.0)</f>
        <v>827</v>
      </c>
      <c r="C208" s="5" t="str">
        <f>IFERROR(__xludf.DUMMYFUNCTION("""COMPUTED_VALUE"""),"SSI PRIDE")</f>
        <v>SSI PRIDE</v>
      </c>
      <c r="D208" s="5">
        <f>IFERROR(__xludf.DUMMYFUNCTION("""COMPUTED_VALUE"""),9250579.0)</f>
        <v>9250579</v>
      </c>
      <c r="E208" s="5" t="str">
        <f>IFERROR(__xludf.DUMMYFUNCTION("""COMPUTED_VALUE"""),"Chornomorsk")</f>
        <v>Chornomorsk</v>
      </c>
      <c r="F208" s="5" t="str">
        <f>IFERROR(__xludf.DUMMYFUNCTION("""COMPUTED_VALUE"""),"Spain")</f>
        <v>Spain</v>
      </c>
      <c r="G208" s="5" t="str">
        <f>IFERROR(__xludf.DUMMYFUNCTION("""COMPUTED_VALUE"""),"Wheat")</f>
        <v>Wheat</v>
      </c>
      <c r="H208" s="6">
        <f>IFERROR(__xludf.DUMMYFUNCTION("""COMPUTED_VALUE"""),47000.0)</f>
        <v>47000</v>
      </c>
      <c r="I208" s="7">
        <f>IFERROR(__xludf.DUMMYFUNCTION("""COMPUTED_VALUE"""),45004.0)</f>
        <v>45004</v>
      </c>
      <c r="J208" s="7">
        <f>IFERROR(__xludf.DUMMYFUNCTION("""COMPUTED_VALUE"""),45013.0)</f>
        <v>45013</v>
      </c>
      <c r="K208" s="5" t="str">
        <f>IFERROR(__xludf.DUMMYFUNCTION("""COMPUTED_VALUE"""),"high-income")</f>
        <v>high-income</v>
      </c>
      <c r="L208" s="5" t="str">
        <f>IFERROR(__xludf.DUMMYFUNCTION("""COMPUTED_VALUE"""),"Panama")</f>
        <v>Panama</v>
      </c>
      <c r="M208" s="5" t="str">
        <f>IFERROR(__xludf.DUMMYFUNCTION("""COMPUTED_VALUE"""),"Europe &amp; Central Asia")</f>
        <v>Europe &amp; Central Asia</v>
      </c>
      <c r="N208" s="5" t="str">
        <f>IFERROR(__xludf.DUMMYFUNCTION("""COMPUTED_VALUE"""),"Western Europe and Others")</f>
        <v>Western Europe and Others</v>
      </c>
      <c r="O208" s="5" t="str">
        <f>IFERROR(__xludf.DUMMYFUNCTION("""COMPUTED_VALUE"""),"developed")</f>
        <v>developed</v>
      </c>
      <c r="P208" s="5"/>
      <c r="Q208" s="5"/>
    </row>
    <row r="209">
      <c r="A209" s="5" t="str">
        <f>IFERROR(__xludf.DUMMYFUNCTION("""COMPUTED_VALUE"""),"Outbound")</f>
        <v>Outbound</v>
      </c>
      <c r="B209" s="5">
        <f>IFERROR(__xludf.DUMMYFUNCTION("""COMPUTED_VALUE"""),826.0)</f>
        <v>826</v>
      </c>
      <c r="C209" s="5" t="str">
        <f>IFERROR(__xludf.DUMMYFUNCTION("""COMPUTED_VALUE"""),"DS SOFIE BULKER")</f>
        <v>DS SOFIE BULKER</v>
      </c>
      <c r="D209" s="5">
        <f>IFERROR(__xludf.DUMMYFUNCTION("""COMPUTED_VALUE"""),9310604.0)</f>
        <v>9310604</v>
      </c>
      <c r="E209" s="5" t="str">
        <f>IFERROR(__xludf.DUMMYFUNCTION("""COMPUTED_VALUE"""),"Yuzhny/Pivdennyi")</f>
        <v>Yuzhny/Pivdennyi</v>
      </c>
      <c r="F209" s="5" t="str">
        <f>IFERROR(__xludf.DUMMYFUNCTION("""COMPUTED_VALUE"""),"United Kingdom")</f>
        <v>United Kingdom</v>
      </c>
      <c r="G209" s="5" t="str">
        <f>IFERROR(__xludf.DUMMYFUNCTION("""COMPUTED_VALUE"""),"Sunflower meal")</f>
        <v>Sunflower meal</v>
      </c>
      <c r="H209" s="6">
        <f>IFERROR(__xludf.DUMMYFUNCTION("""COMPUTED_VALUE"""),25000.0)</f>
        <v>25000</v>
      </c>
      <c r="I209" s="7">
        <f>IFERROR(__xludf.DUMMYFUNCTION("""COMPUTED_VALUE"""),45004.0)</f>
        <v>45004</v>
      </c>
      <c r="J209" s="7">
        <f>IFERROR(__xludf.DUMMYFUNCTION("""COMPUTED_VALUE"""),45013.0)</f>
        <v>45013</v>
      </c>
      <c r="K209" s="5" t="str">
        <f>IFERROR(__xludf.DUMMYFUNCTION("""COMPUTED_VALUE"""),"high-income")</f>
        <v>high-income</v>
      </c>
      <c r="L209" s="5" t="str">
        <f>IFERROR(__xludf.DUMMYFUNCTION("""COMPUTED_VALUE"""),"Marshall Islands")</f>
        <v>Marshall Islands</v>
      </c>
      <c r="M209" s="5" t="str">
        <f>IFERROR(__xludf.DUMMYFUNCTION("""COMPUTED_VALUE"""),"Europe &amp; Central Asia")</f>
        <v>Europe &amp; Central Asia</v>
      </c>
      <c r="N209" s="5" t="str">
        <f>IFERROR(__xludf.DUMMYFUNCTION("""COMPUTED_VALUE"""),"Western Europe and Others")</f>
        <v>Western Europe and Others</v>
      </c>
      <c r="O209" s="5" t="str">
        <f>IFERROR(__xludf.DUMMYFUNCTION("""COMPUTED_VALUE"""),"developed")</f>
        <v>developed</v>
      </c>
      <c r="P209" s="5"/>
      <c r="Q209" s="5"/>
    </row>
    <row r="210">
      <c r="A210" s="5" t="str">
        <f>IFERROR(__xludf.DUMMYFUNCTION("""COMPUTED_VALUE"""),"Outbound")</f>
        <v>Outbound</v>
      </c>
      <c r="B210" s="5">
        <f>IFERROR(__xludf.DUMMYFUNCTION("""COMPUTED_VALUE"""),825.0)</f>
        <v>825</v>
      </c>
      <c r="C210" s="5" t="str">
        <f>IFERROR(__xludf.DUMMYFUNCTION("""COMPUTED_VALUE"""),"LEDA C")</f>
        <v>LEDA C</v>
      </c>
      <c r="D210" s="5">
        <f>IFERROR(__xludf.DUMMYFUNCTION("""COMPUTED_VALUE"""),9583768.0)</f>
        <v>9583768</v>
      </c>
      <c r="E210" s="5" t="str">
        <f>IFERROR(__xludf.DUMMYFUNCTION("""COMPUTED_VALUE"""),"Chornomorsk")</f>
        <v>Chornomorsk</v>
      </c>
      <c r="F210" s="5" t="str">
        <f>IFERROR(__xludf.DUMMYFUNCTION("""COMPUTED_VALUE"""),"China")</f>
        <v>China</v>
      </c>
      <c r="G210" s="5" t="str">
        <f>IFERROR(__xludf.DUMMYFUNCTION("""COMPUTED_VALUE"""),"Corn")</f>
        <v>Corn</v>
      </c>
      <c r="H210" s="6">
        <f>IFERROR(__xludf.DUMMYFUNCTION("""COMPUTED_VALUE"""),66564.0)</f>
        <v>66564</v>
      </c>
      <c r="I210" s="7">
        <f>IFERROR(__xludf.DUMMYFUNCTION("""COMPUTED_VALUE"""),45003.0)</f>
        <v>45003</v>
      </c>
      <c r="J210" s="7">
        <f>IFERROR(__xludf.DUMMYFUNCTION("""COMPUTED_VALUE"""),45009.0)</f>
        <v>45009</v>
      </c>
      <c r="K210" s="5" t="str">
        <f>IFERROR(__xludf.DUMMYFUNCTION("""COMPUTED_VALUE"""),"upper-middle-income")</f>
        <v>upper-middle-income</v>
      </c>
      <c r="L210" s="5" t="str">
        <f>IFERROR(__xludf.DUMMYFUNCTION("""COMPUTED_VALUE"""),"Marshall Islands")</f>
        <v>Marshall Islands</v>
      </c>
      <c r="M210" s="5" t="str">
        <f>IFERROR(__xludf.DUMMYFUNCTION("""COMPUTED_VALUE"""),"East Asia &amp; Pacific")</f>
        <v>East Asia &amp; Pacific</v>
      </c>
      <c r="N210" s="5" t="str">
        <f>IFERROR(__xludf.DUMMYFUNCTION("""COMPUTED_VALUE"""),"Asia-Pacific")</f>
        <v>Asia-Pacific</v>
      </c>
      <c r="O210" s="5" t="str">
        <f>IFERROR(__xludf.DUMMYFUNCTION("""COMPUTED_VALUE"""),"developing")</f>
        <v>developing</v>
      </c>
      <c r="P210" s="5"/>
      <c r="Q210" s="5"/>
    </row>
    <row r="211">
      <c r="A211" s="5" t="str">
        <f>IFERROR(__xludf.DUMMYFUNCTION("""COMPUTED_VALUE"""),"Outbound")</f>
        <v>Outbound</v>
      </c>
      <c r="B211" s="5">
        <f>IFERROR(__xludf.DUMMYFUNCTION("""COMPUTED_VALUE"""),824.0)</f>
        <v>824</v>
      </c>
      <c r="C211" s="5" t="str">
        <f>IFERROR(__xludf.DUMMYFUNCTION("""COMPUTED_VALUE"""),"DINA T")</f>
        <v>DINA T</v>
      </c>
      <c r="D211" s="5">
        <f>IFERROR(__xludf.DUMMYFUNCTION("""COMPUTED_VALUE"""),9303388.0)</f>
        <v>9303388</v>
      </c>
      <c r="E211" s="5" t="str">
        <f>IFERROR(__xludf.DUMMYFUNCTION("""COMPUTED_VALUE"""),"Odesa")</f>
        <v>Odesa</v>
      </c>
      <c r="F211" s="5" t="str">
        <f>IFERROR(__xludf.DUMMYFUNCTION("""COMPUTED_VALUE"""),"Tunisia")</f>
        <v>Tunisia</v>
      </c>
      <c r="G211" s="5" t="str">
        <f>IFERROR(__xludf.DUMMYFUNCTION("""COMPUTED_VALUE"""),"Corn")</f>
        <v>Corn</v>
      </c>
      <c r="H211" s="6">
        <f>IFERROR(__xludf.DUMMYFUNCTION("""COMPUTED_VALUE"""),30050.0)</f>
        <v>30050</v>
      </c>
      <c r="I211" s="7">
        <f>IFERROR(__xludf.DUMMYFUNCTION("""COMPUTED_VALUE"""),45003.0)</f>
        <v>45003</v>
      </c>
      <c r="J211" s="7">
        <f>IFERROR(__xludf.DUMMYFUNCTION("""COMPUTED_VALUE"""),45017.0)</f>
        <v>45017</v>
      </c>
      <c r="K211" s="5" t="str">
        <f>IFERROR(__xludf.DUMMYFUNCTION("""COMPUTED_VALUE"""),"lower-middle income")</f>
        <v>lower-middle income</v>
      </c>
      <c r="L211" s="5" t="str">
        <f>IFERROR(__xludf.DUMMYFUNCTION("""COMPUTED_VALUE"""),"Belize")</f>
        <v>Belize</v>
      </c>
      <c r="M211" s="5" t="str">
        <f>IFERROR(__xludf.DUMMYFUNCTION("""COMPUTED_VALUE"""),"Middle East &amp; North Africa")</f>
        <v>Middle East &amp; North Africa</v>
      </c>
      <c r="N211" s="5" t="str">
        <f>IFERROR(__xludf.DUMMYFUNCTION("""COMPUTED_VALUE"""),"Africa")</f>
        <v>Africa</v>
      </c>
      <c r="O211" s="5" t="str">
        <f>IFERROR(__xludf.DUMMYFUNCTION("""COMPUTED_VALUE"""),"developing")</f>
        <v>developing</v>
      </c>
      <c r="P211" s="5"/>
      <c r="Q211" s="5"/>
    </row>
    <row r="212">
      <c r="A212" s="5" t="str">
        <f>IFERROR(__xludf.DUMMYFUNCTION("""COMPUTED_VALUE"""),"Outbound")</f>
        <v>Outbound</v>
      </c>
      <c r="B212" s="5">
        <f>IFERROR(__xludf.DUMMYFUNCTION("""COMPUTED_VALUE"""),823.0)</f>
        <v>823</v>
      </c>
      <c r="C212" s="5" t="str">
        <f>IFERROR(__xludf.DUMMYFUNCTION("""COMPUTED_VALUE"""),"STEFANOS T")</f>
        <v>STEFANOS T</v>
      </c>
      <c r="D212" s="5">
        <f>IFERROR(__xludf.DUMMYFUNCTION("""COMPUTED_VALUE"""),9583744.0)</f>
        <v>9583744</v>
      </c>
      <c r="E212" s="5" t="str">
        <f>IFERROR(__xludf.DUMMYFUNCTION("""COMPUTED_VALUE"""),"Chornomorsk")</f>
        <v>Chornomorsk</v>
      </c>
      <c r="F212" s="5" t="str">
        <f>IFERROR(__xludf.DUMMYFUNCTION("""COMPUTED_VALUE"""),"China")</f>
        <v>China</v>
      </c>
      <c r="G212" s="5" t="str">
        <f>IFERROR(__xludf.DUMMYFUNCTION("""COMPUTED_VALUE"""),"Sunflower meal")</f>
        <v>Sunflower meal</v>
      </c>
      <c r="H212" s="6">
        <f>IFERROR(__xludf.DUMMYFUNCTION("""COMPUTED_VALUE"""),62309.0)</f>
        <v>62309</v>
      </c>
      <c r="I212" s="7">
        <f>IFERROR(__xludf.DUMMYFUNCTION("""COMPUTED_VALUE"""),45002.0)</f>
        <v>45002</v>
      </c>
      <c r="J212" s="7">
        <f>IFERROR(__xludf.DUMMYFUNCTION("""COMPUTED_VALUE"""),45012.0)</f>
        <v>45012</v>
      </c>
      <c r="K212" s="5" t="str">
        <f>IFERROR(__xludf.DUMMYFUNCTION("""COMPUTED_VALUE"""),"upper-middle-income")</f>
        <v>upper-middle-income</v>
      </c>
      <c r="L212" s="5" t="str">
        <f>IFERROR(__xludf.DUMMYFUNCTION("""COMPUTED_VALUE"""),"Liberia")</f>
        <v>Liberia</v>
      </c>
      <c r="M212" s="5" t="str">
        <f>IFERROR(__xludf.DUMMYFUNCTION("""COMPUTED_VALUE"""),"East Asia &amp; Pacific")</f>
        <v>East Asia &amp; Pacific</v>
      </c>
      <c r="N212" s="5" t="str">
        <f>IFERROR(__xludf.DUMMYFUNCTION("""COMPUTED_VALUE"""),"Asia-Pacific")</f>
        <v>Asia-Pacific</v>
      </c>
      <c r="O212" s="5" t="str">
        <f>IFERROR(__xludf.DUMMYFUNCTION("""COMPUTED_VALUE"""),"developing")</f>
        <v>developing</v>
      </c>
      <c r="P212" s="5"/>
      <c r="Q212" s="5"/>
    </row>
    <row r="213">
      <c r="A213" s="5" t="str">
        <f>IFERROR(__xludf.DUMMYFUNCTION("""COMPUTED_VALUE"""),"Outbound")</f>
        <v>Outbound</v>
      </c>
      <c r="B213" s="5">
        <f>IFERROR(__xludf.DUMMYFUNCTION("""COMPUTED_VALUE"""),822.0)</f>
        <v>822</v>
      </c>
      <c r="C213" s="5" t="str">
        <f>IFERROR(__xludf.DUMMYFUNCTION("""COMPUTED_VALUE"""),"PROTECTOR ST. RAPHAEL")</f>
        <v>PROTECTOR ST. RAPHAEL</v>
      </c>
      <c r="D213" s="5">
        <f>IFERROR(__xludf.DUMMYFUNCTION("""COMPUTED_VALUE"""),9583615.0)</f>
        <v>9583615</v>
      </c>
      <c r="E213" s="5" t="str">
        <f>IFERROR(__xludf.DUMMYFUNCTION("""COMPUTED_VALUE"""),"Chornomorsk")</f>
        <v>Chornomorsk</v>
      </c>
      <c r="F213" s="5" t="str">
        <f>IFERROR(__xludf.DUMMYFUNCTION("""COMPUTED_VALUE"""),"China")</f>
        <v>China</v>
      </c>
      <c r="G213" s="5" t="str">
        <f>IFERROR(__xludf.DUMMYFUNCTION("""COMPUTED_VALUE"""),"Corn")</f>
        <v>Corn</v>
      </c>
      <c r="H213" s="6">
        <f>IFERROR(__xludf.DUMMYFUNCTION("""COMPUTED_VALUE"""),52438.0)</f>
        <v>52438</v>
      </c>
      <c r="I213" s="7">
        <f>IFERROR(__xludf.DUMMYFUNCTION("""COMPUTED_VALUE"""),45002.0)</f>
        <v>45002</v>
      </c>
      <c r="J213" s="7">
        <f>IFERROR(__xludf.DUMMYFUNCTION("""COMPUTED_VALUE"""),45012.0)</f>
        <v>45012</v>
      </c>
      <c r="K213" s="5" t="str">
        <f>IFERROR(__xludf.DUMMYFUNCTION("""COMPUTED_VALUE"""),"upper-middle-income")</f>
        <v>upper-middle-income</v>
      </c>
      <c r="L213" s="5" t="str">
        <f>IFERROR(__xludf.DUMMYFUNCTION("""COMPUTED_VALUE"""),"Liberia")</f>
        <v>Liberia</v>
      </c>
      <c r="M213" s="5" t="str">
        <f>IFERROR(__xludf.DUMMYFUNCTION("""COMPUTED_VALUE"""),"East Asia &amp; Pacific")</f>
        <v>East Asia &amp; Pacific</v>
      </c>
      <c r="N213" s="5" t="str">
        <f>IFERROR(__xludf.DUMMYFUNCTION("""COMPUTED_VALUE"""),"Asia-Pacific")</f>
        <v>Asia-Pacific</v>
      </c>
      <c r="O213" s="5" t="str">
        <f>IFERROR(__xludf.DUMMYFUNCTION("""COMPUTED_VALUE"""),"developing")</f>
        <v>developing</v>
      </c>
      <c r="P213" s="5"/>
      <c r="Q213" s="5"/>
    </row>
    <row r="214">
      <c r="A214" s="5" t="str">
        <f>IFERROR(__xludf.DUMMYFUNCTION("""COMPUTED_VALUE"""),"Outbound")</f>
        <v>Outbound</v>
      </c>
      <c r="B214" s="5">
        <f>IFERROR(__xludf.DUMMYFUNCTION("""COMPUTED_VALUE"""),821.0)</f>
        <v>821</v>
      </c>
      <c r="C214" s="5" t="str">
        <f>IFERROR(__xludf.DUMMYFUNCTION("""COMPUTED_VALUE"""),"CAPTAIN P.EGGLEZOS ")</f>
        <v>CAPTAIN P.EGGLEZOS </v>
      </c>
      <c r="D214" s="5">
        <f>IFERROR(__xludf.DUMMYFUNCTION("""COMPUTED_VALUE"""),9332224.0)</f>
        <v>9332224</v>
      </c>
      <c r="E214" s="5" t="str">
        <f>IFERROR(__xludf.DUMMYFUNCTION("""COMPUTED_VALUE"""),"Yuzhny/Pivdennyi")</f>
        <v>Yuzhny/Pivdennyi</v>
      </c>
      <c r="F214" s="5" t="str">
        <f>IFERROR(__xludf.DUMMYFUNCTION("""COMPUTED_VALUE"""),"Portugal")</f>
        <v>Portugal</v>
      </c>
      <c r="G214" s="5" t="str">
        <f>IFERROR(__xludf.DUMMYFUNCTION("""COMPUTED_VALUE"""),"Corn")</f>
        <v>Corn</v>
      </c>
      <c r="H214" s="6">
        <f>IFERROR(__xludf.DUMMYFUNCTION("""COMPUTED_VALUE"""),65585.0)</f>
        <v>65585</v>
      </c>
      <c r="I214" s="7">
        <f>IFERROR(__xludf.DUMMYFUNCTION("""COMPUTED_VALUE"""),45002.0)</f>
        <v>45002</v>
      </c>
      <c r="J214" s="7">
        <f>IFERROR(__xludf.DUMMYFUNCTION("""COMPUTED_VALUE"""),45019.0)</f>
        <v>45019</v>
      </c>
      <c r="K214" s="5" t="str">
        <f>IFERROR(__xludf.DUMMYFUNCTION("""COMPUTED_VALUE"""),"high-income")</f>
        <v>high-income</v>
      </c>
      <c r="L214" s="5" t="str">
        <f>IFERROR(__xludf.DUMMYFUNCTION("""COMPUTED_VALUE"""),"Liberia")</f>
        <v>Liberia</v>
      </c>
      <c r="M214" s="5" t="str">
        <f>IFERROR(__xludf.DUMMYFUNCTION("""COMPUTED_VALUE"""),"Europe &amp; Central Asia")</f>
        <v>Europe &amp; Central Asia</v>
      </c>
      <c r="N214" s="5" t="str">
        <f>IFERROR(__xludf.DUMMYFUNCTION("""COMPUTED_VALUE"""),"Western Europe and Others")</f>
        <v>Western Europe and Others</v>
      </c>
      <c r="O214" s="5" t="str">
        <f>IFERROR(__xludf.DUMMYFUNCTION("""COMPUTED_VALUE"""),"developed")</f>
        <v>developed</v>
      </c>
      <c r="P214" s="5"/>
      <c r="Q214" s="5"/>
    </row>
    <row r="215">
      <c r="A215" s="5" t="str">
        <f>IFERROR(__xludf.DUMMYFUNCTION("""COMPUTED_VALUE"""),"Outbound")</f>
        <v>Outbound</v>
      </c>
      <c r="B215" s="5">
        <f>IFERROR(__xludf.DUMMYFUNCTION("""COMPUTED_VALUE"""),820.0)</f>
        <v>820</v>
      </c>
      <c r="C215" s="5" t="str">
        <f>IFERROR(__xludf.DUMMYFUNCTION("""COMPUTED_VALUE"""),"BLUE BEAD")</f>
        <v>BLUE BEAD</v>
      </c>
      <c r="D215" s="5">
        <f>IFERROR(__xludf.DUMMYFUNCTION("""COMPUTED_VALUE"""),9171113.0)</f>
        <v>9171113</v>
      </c>
      <c r="E215" s="5" t="str">
        <f>IFERROR(__xludf.DUMMYFUNCTION("""COMPUTED_VALUE"""),"Odesa")</f>
        <v>Odesa</v>
      </c>
      <c r="F215" s="5" t="str">
        <f>IFERROR(__xludf.DUMMYFUNCTION("""COMPUTED_VALUE"""),"Libya")</f>
        <v>Libya</v>
      </c>
      <c r="G215" s="5" t="str">
        <f>IFERROR(__xludf.DUMMYFUNCTION("""COMPUTED_VALUE"""),"Corn")</f>
        <v>Corn</v>
      </c>
      <c r="H215" s="6">
        <f>IFERROR(__xludf.DUMMYFUNCTION("""COMPUTED_VALUE"""),27000.0)</f>
        <v>27000</v>
      </c>
      <c r="I215" s="7">
        <f>IFERROR(__xludf.DUMMYFUNCTION("""COMPUTED_VALUE"""),45002.0)</f>
        <v>45002</v>
      </c>
      <c r="J215" s="7">
        <f>IFERROR(__xludf.DUMMYFUNCTION("""COMPUTED_VALUE"""),45012.0)</f>
        <v>45012</v>
      </c>
      <c r="K215" s="5" t="str">
        <f>IFERROR(__xludf.DUMMYFUNCTION("""COMPUTED_VALUE"""),"upper-middle-income")</f>
        <v>upper-middle-income</v>
      </c>
      <c r="L215" s="5" t="str">
        <f>IFERROR(__xludf.DUMMYFUNCTION("""COMPUTED_VALUE"""),"Palau")</f>
        <v>Palau</v>
      </c>
      <c r="M215" s="5" t="str">
        <f>IFERROR(__xludf.DUMMYFUNCTION("""COMPUTED_VALUE"""),"Middle East &amp; North Africa")</f>
        <v>Middle East &amp; North Africa</v>
      </c>
      <c r="N215" s="5" t="str">
        <f>IFERROR(__xludf.DUMMYFUNCTION("""COMPUTED_VALUE"""),"Africa")</f>
        <v>Africa</v>
      </c>
      <c r="O215" s="5" t="str">
        <f>IFERROR(__xludf.DUMMYFUNCTION("""COMPUTED_VALUE"""),"developing")</f>
        <v>developing</v>
      </c>
      <c r="P215" s="5"/>
      <c r="Q215" s="5"/>
    </row>
    <row r="216">
      <c r="A216" s="5" t="str">
        <f>IFERROR(__xludf.DUMMYFUNCTION("""COMPUTED_VALUE"""),"Outbound +")</f>
        <v>Outbound +</v>
      </c>
      <c r="B216" s="5">
        <f>IFERROR(__xludf.DUMMYFUNCTION("""COMPUTED_VALUE"""),820.0)</f>
        <v>820</v>
      </c>
      <c r="C216" s="5" t="str">
        <f>IFERROR(__xludf.DUMMYFUNCTION("""COMPUTED_VALUE"""),"BLUE BEAD")</f>
        <v>BLUE BEAD</v>
      </c>
      <c r="D216" s="5">
        <f>IFERROR(__xludf.DUMMYFUNCTION("""COMPUTED_VALUE"""),9171113.0)</f>
        <v>9171113</v>
      </c>
      <c r="E216" s="5" t="str">
        <f>IFERROR(__xludf.DUMMYFUNCTION("""COMPUTED_VALUE"""),"Odesa")</f>
        <v>Odesa</v>
      </c>
      <c r="F216" s="5" t="str">
        <f>IFERROR(__xludf.DUMMYFUNCTION("""COMPUTED_VALUE"""),"Libya")</f>
        <v>Libya</v>
      </c>
      <c r="G216" s="5" t="str">
        <f>IFERROR(__xludf.DUMMYFUNCTION("""COMPUTED_VALUE"""),"Sunflower meal")</f>
        <v>Sunflower meal</v>
      </c>
      <c r="H216" s="6">
        <f>IFERROR(__xludf.DUMMYFUNCTION("""COMPUTED_VALUE"""),2700.0)</f>
        <v>2700</v>
      </c>
      <c r="I216" s="7">
        <f>IFERROR(__xludf.DUMMYFUNCTION("""COMPUTED_VALUE"""),45002.0)</f>
        <v>45002</v>
      </c>
      <c r="J216" s="7">
        <f>IFERROR(__xludf.DUMMYFUNCTION("""COMPUTED_VALUE"""),45012.0)</f>
        <v>45012</v>
      </c>
      <c r="K216" s="5" t="str">
        <f>IFERROR(__xludf.DUMMYFUNCTION("""COMPUTED_VALUE"""),"upper-middle-income")</f>
        <v>upper-middle-income</v>
      </c>
      <c r="L216" s="5" t="str">
        <f>IFERROR(__xludf.DUMMYFUNCTION("""COMPUTED_VALUE"""),"Palau")</f>
        <v>Palau</v>
      </c>
      <c r="M216" s="5" t="str">
        <f>IFERROR(__xludf.DUMMYFUNCTION("""COMPUTED_VALUE"""),"Middle East &amp; North Africa")</f>
        <v>Middle East &amp; North Africa</v>
      </c>
      <c r="N216" s="5" t="str">
        <f>IFERROR(__xludf.DUMMYFUNCTION("""COMPUTED_VALUE"""),"Africa")</f>
        <v>Africa</v>
      </c>
      <c r="O216" s="5" t="str">
        <f>IFERROR(__xludf.DUMMYFUNCTION("""COMPUTED_VALUE"""),"developing")</f>
        <v>developing</v>
      </c>
      <c r="P216" s="5"/>
      <c r="Q216" s="5"/>
    </row>
    <row r="217">
      <c r="A217" s="5" t="str">
        <f>IFERROR(__xludf.DUMMYFUNCTION("""COMPUTED_VALUE"""),"Outbound")</f>
        <v>Outbound</v>
      </c>
      <c r="B217" s="5">
        <f>IFERROR(__xludf.DUMMYFUNCTION("""COMPUTED_VALUE"""),819.0)</f>
        <v>819</v>
      </c>
      <c r="C217" s="5" t="str">
        <f>IFERROR(__xludf.DUMMYFUNCTION("""COMPUTED_VALUE"""),"NAHIDE M")</f>
        <v>NAHIDE M</v>
      </c>
      <c r="D217" s="5">
        <f>IFERROR(__xludf.DUMMYFUNCTION("""COMPUTED_VALUE"""),9116319.0)</f>
        <v>9116319</v>
      </c>
      <c r="E217" s="5" t="str">
        <f>IFERROR(__xludf.DUMMYFUNCTION("""COMPUTED_VALUE"""),"Chornomorsk")</f>
        <v>Chornomorsk</v>
      </c>
      <c r="F217" s="5" t="str">
        <f>IFERROR(__xludf.DUMMYFUNCTION("""COMPUTED_VALUE"""),"Türkiye")</f>
        <v>Türkiye</v>
      </c>
      <c r="G217" s="5" t="str">
        <f>IFERROR(__xludf.DUMMYFUNCTION("""COMPUTED_VALUE"""),"Wheat")</f>
        <v>Wheat</v>
      </c>
      <c r="H217" s="6">
        <f>IFERROR(__xludf.DUMMYFUNCTION("""COMPUTED_VALUE"""),26250.0)</f>
        <v>26250</v>
      </c>
      <c r="I217" s="7">
        <f>IFERROR(__xludf.DUMMYFUNCTION("""COMPUTED_VALUE"""),45001.0)</f>
        <v>45001</v>
      </c>
      <c r="J217" s="7">
        <f>IFERROR(__xludf.DUMMYFUNCTION("""COMPUTED_VALUE"""),45011.0)</f>
        <v>45011</v>
      </c>
      <c r="K217" s="5" t="str">
        <f>IFERROR(__xludf.DUMMYFUNCTION("""COMPUTED_VALUE"""),"upper-middle-income")</f>
        <v>upper-middle-income</v>
      </c>
      <c r="L217" s="5" t="str">
        <f>IFERROR(__xludf.DUMMYFUNCTION("""COMPUTED_VALUE"""),"Panama")</f>
        <v>Panama</v>
      </c>
      <c r="M217" s="5" t="str">
        <f>IFERROR(__xludf.DUMMYFUNCTION("""COMPUTED_VALUE"""),"Europe &amp; Central Asia")</f>
        <v>Europe &amp; Central Asia</v>
      </c>
      <c r="N217" s="5" t="str">
        <f>IFERROR(__xludf.DUMMYFUNCTION("""COMPUTED_VALUE"""),"Asia-Pacific")</f>
        <v>Asia-Pacific</v>
      </c>
      <c r="O217" s="5" t="str">
        <f>IFERROR(__xludf.DUMMYFUNCTION("""COMPUTED_VALUE"""),"developing")</f>
        <v>developing</v>
      </c>
      <c r="P217" s="5"/>
      <c r="Q217" s="5"/>
    </row>
    <row r="218">
      <c r="A218" s="5" t="str">
        <f>IFERROR(__xludf.DUMMYFUNCTION("""COMPUTED_VALUE"""),"Outbound")</f>
        <v>Outbound</v>
      </c>
      <c r="B218" s="5">
        <f>IFERROR(__xludf.DUMMYFUNCTION("""COMPUTED_VALUE"""),818.0)</f>
        <v>818</v>
      </c>
      <c r="C218" s="5" t="str">
        <f>IFERROR(__xludf.DUMMYFUNCTION("""COMPUTED_VALUE"""),"EVANGELISTRIA")</f>
        <v>EVANGELISTRIA</v>
      </c>
      <c r="D218" s="5">
        <f>IFERROR(__xludf.DUMMYFUNCTION("""COMPUTED_VALUE"""),9383857.0)</f>
        <v>9383857</v>
      </c>
      <c r="E218" s="5" t="str">
        <f>IFERROR(__xludf.DUMMYFUNCTION("""COMPUTED_VALUE"""),"Yuzhny/Pivdennyi")</f>
        <v>Yuzhny/Pivdennyi</v>
      </c>
      <c r="F218" s="5" t="str">
        <f>IFERROR(__xludf.DUMMYFUNCTION("""COMPUTED_VALUE"""),"The Netherlands")</f>
        <v>The Netherlands</v>
      </c>
      <c r="G218" s="5" t="str">
        <f>IFERROR(__xludf.DUMMYFUNCTION("""COMPUTED_VALUE"""),"Corn")</f>
        <v>Corn</v>
      </c>
      <c r="H218" s="6">
        <f>IFERROR(__xludf.DUMMYFUNCTION("""COMPUTED_VALUE"""),66000.0)</f>
        <v>66000</v>
      </c>
      <c r="I218" s="7">
        <f>IFERROR(__xludf.DUMMYFUNCTION("""COMPUTED_VALUE"""),45001.0)</f>
        <v>45001</v>
      </c>
      <c r="J218" s="7">
        <f>IFERROR(__xludf.DUMMYFUNCTION("""COMPUTED_VALUE"""),45008.0)</f>
        <v>45008</v>
      </c>
      <c r="K218" s="5" t="str">
        <f>IFERROR(__xludf.DUMMYFUNCTION("""COMPUTED_VALUE"""),"high-income")</f>
        <v>high-income</v>
      </c>
      <c r="L218" s="5" t="str">
        <f>IFERROR(__xludf.DUMMYFUNCTION("""COMPUTED_VALUE"""),"Liberia")</f>
        <v>Liberia</v>
      </c>
      <c r="M218" s="5" t="str">
        <f>IFERROR(__xludf.DUMMYFUNCTION("""COMPUTED_VALUE"""),"Europe &amp; Central Asia")</f>
        <v>Europe &amp; Central Asia</v>
      </c>
      <c r="N218" s="5" t="str">
        <f>IFERROR(__xludf.DUMMYFUNCTION("""COMPUTED_VALUE"""),"Western Europe and Others")</f>
        <v>Western Europe and Others</v>
      </c>
      <c r="O218" s="5" t="str">
        <f>IFERROR(__xludf.DUMMYFUNCTION("""COMPUTED_VALUE"""),"developed")</f>
        <v>developed</v>
      </c>
      <c r="P218" s="5"/>
      <c r="Q218" s="5"/>
    </row>
    <row r="219">
      <c r="A219" s="5" t="str">
        <f>IFERROR(__xludf.DUMMYFUNCTION("""COMPUTED_VALUE"""),"Outbound")</f>
        <v>Outbound</v>
      </c>
      <c r="B219" s="5">
        <f>IFERROR(__xludf.DUMMYFUNCTION("""COMPUTED_VALUE"""),817.0)</f>
        <v>817</v>
      </c>
      <c r="C219" s="5" t="str">
        <f>IFERROR(__xludf.DUMMYFUNCTION("""COMPUTED_VALUE"""),"YASA UNITY")</f>
        <v>YASA UNITY</v>
      </c>
      <c r="D219" s="5">
        <f>IFERROR(__xludf.DUMMYFUNCTION("""COMPUTED_VALUE"""),9296262.0)</f>
        <v>9296262</v>
      </c>
      <c r="E219" s="5" t="str">
        <f>IFERROR(__xludf.DUMMYFUNCTION("""COMPUTED_VALUE"""),"Yuzhny/Pivdennyi")</f>
        <v>Yuzhny/Pivdennyi</v>
      </c>
      <c r="F219" s="5" t="str">
        <f>IFERROR(__xludf.DUMMYFUNCTION("""COMPUTED_VALUE"""),"Spain")</f>
        <v>Spain</v>
      </c>
      <c r="G219" s="5" t="str">
        <f>IFERROR(__xludf.DUMMYFUNCTION("""COMPUTED_VALUE"""),"Wheat")</f>
        <v>Wheat</v>
      </c>
      <c r="H219" s="6">
        <f>IFERROR(__xludf.DUMMYFUNCTION("""COMPUTED_VALUE"""),38678.0)</f>
        <v>38678</v>
      </c>
      <c r="I219" s="7">
        <f>IFERROR(__xludf.DUMMYFUNCTION("""COMPUTED_VALUE"""),45000.0)</f>
        <v>45000</v>
      </c>
      <c r="J219" s="7">
        <f>IFERROR(__xludf.DUMMYFUNCTION("""COMPUTED_VALUE"""),45010.0)</f>
        <v>45010</v>
      </c>
      <c r="K219" s="5" t="str">
        <f>IFERROR(__xludf.DUMMYFUNCTION("""COMPUTED_VALUE"""),"high-income")</f>
        <v>high-income</v>
      </c>
      <c r="L219" s="5" t="str">
        <f>IFERROR(__xludf.DUMMYFUNCTION("""COMPUTED_VALUE"""),"Marshall Islands")</f>
        <v>Marshall Islands</v>
      </c>
      <c r="M219" s="5" t="str">
        <f>IFERROR(__xludf.DUMMYFUNCTION("""COMPUTED_VALUE"""),"Europe &amp; Central Asia")</f>
        <v>Europe &amp; Central Asia</v>
      </c>
      <c r="N219" s="5" t="str">
        <f>IFERROR(__xludf.DUMMYFUNCTION("""COMPUTED_VALUE"""),"Western Europe and Others")</f>
        <v>Western Europe and Others</v>
      </c>
      <c r="O219" s="5" t="str">
        <f>IFERROR(__xludf.DUMMYFUNCTION("""COMPUTED_VALUE"""),"developed")</f>
        <v>developed</v>
      </c>
      <c r="P219" s="5"/>
      <c r="Q219" s="5"/>
    </row>
    <row r="220">
      <c r="A220" s="5" t="str">
        <f>IFERROR(__xludf.DUMMYFUNCTION("""COMPUTED_VALUE"""),"Outbound +")</f>
        <v>Outbound +</v>
      </c>
      <c r="B220" s="5">
        <f>IFERROR(__xludf.DUMMYFUNCTION("""COMPUTED_VALUE"""),817.0)</f>
        <v>817</v>
      </c>
      <c r="C220" s="5" t="str">
        <f>IFERROR(__xludf.DUMMYFUNCTION("""COMPUTED_VALUE"""),"YASA UNITY")</f>
        <v>YASA UNITY</v>
      </c>
      <c r="D220" s="5">
        <f>IFERROR(__xludf.DUMMYFUNCTION("""COMPUTED_VALUE"""),9296262.0)</f>
        <v>9296262</v>
      </c>
      <c r="E220" s="5" t="str">
        <f>IFERROR(__xludf.DUMMYFUNCTION("""COMPUTED_VALUE"""),"Yuzhny/Pivdennyi")</f>
        <v>Yuzhny/Pivdennyi</v>
      </c>
      <c r="F220" s="5" t="str">
        <f>IFERROR(__xludf.DUMMYFUNCTION("""COMPUTED_VALUE"""),"Spain")</f>
        <v>Spain</v>
      </c>
      <c r="G220" s="5" t="str">
        <f>IFERROR(__xludf.DUMMYFUNCTION("""COMPUTED_VALUE"""),"Corn")</f>
        <v>Corn</v>
      </c>
      <c r="H220" s="6">
        <f>IFERROR(__xludf.DUMMYFUNCTION("""COMPUTED_VALUE"""),27977.0)</f>
        <v>27977</v>
      </c>
      <c r="I220" s="7">
        <f>IFERROR(__xludf.DUMMYFUNCTION("""COMPUTED_VALUE"""),45000.0)</f>
        <v>45000</v>
      </c>
      <c r="J220" s="7">
        <f>IFERROR(__xludf.DUMMYFUNCTION("""COMPUTED_VALUE"""),45010.0)</f>
        <v>45010</v>
      </c>
      <c r="K220" s="5" t="str">
        <f>IFERROR(__xludf.DUMMYFUNCTION("""COMPUTED_VALUE"""),"high-income")</f>
        <v>high-income</v>
      </c>
      <c r="L220" s="5" t="str">
        <f>IFERROR(__xludf.DUMMYFUNCTION("""COMPUTED_VALUE"""),"Marshall Islands")</f>
        <v>Marshall Islands</v>
      </c>
      <c r="M220" s="5" t="str">
        <f>IFERROR(__xludf.DUMMYFUNCTION("""COMPUTED_VALUE"""),"Europe &amp; Central Asia")</f>
        <v>Europe &amp; Central Asia</v>
      </c>
      <c r="N220" s="5" t="str">
        <f>IFERROR(__xludf.DUMMYFUNCTION("""COMPUTED_VALUE"""),"Western Europe and Others")</f>
        <v>Western Europe and Others</v>
      </c>
      <c r="O220" s="5" t="str">
        <f>IFERROR(__xludf.DUMMYFUNCTION("""COMPUTED_VALUE"""),"developed")</f>
        <v>developed</v>
      </c>
      <c r="P220" s="5"/>
      <c r="Q220" s="5"/>
    </row>
    <row r="221">
      <c r="A221" s="5" t="str">
        <f>IFERROR(__xludf.DUMMYFUNCTION("""COMPUTED_VALUE"""),"Outbound")</f>
        <v>Outbound</v>
      </c>
      <c r="B221" s="5">
        <f>IFERROR(__xludf.DUMMYFUNCTION("""COMPUTED_VALUE"""),816.0)</f>
        <v>816</v>
      </c>
      <c r="C221" s="5" t="str">
        <f>IFERROR(__xludf.DUMMYFUNCTION("""COMPUTED_VALUE"""),"TELERI M")</f>
        <v>TELERI M</v>
      </c>
      <c r="D221" s="5">
        <f>IFERROR(__xludf.DUMMYFUNCTION("""COMPUTED_VALUE"""),9648867.0)</f>
        <v>9648867</v>
      </c>
      <c r="E221" s="5" t="str">
        <f>IFERROR(__xludf.DUMMYFUNCTION("""COMPUTED_VALUE"""),"Odesa")</f>
        <v>Odesa</v>
      </c>
      <c r="F221" s="5" t="str">
        <f>IFERROR(__xludf.DUMMYFUNCTION("""COMPUTED_VALUE"""),"United Arab Emirates")</f>
        <v>United Arab Emirates</v>
      </c>
      <c r="G221" s="5" t="str">
        <f>IFERROR(__xludf.DUMMYFUNCTION("""COMPUTED_VALUE"""),"Wheat")</f>
        <v>Wheat</v>
      </c>
      <c r="H221" s="6">
        <f>IFERROR(__xludf.DUMMYFUNCTION("""COMPUTED_VALUE"""),52800.0)</f>
        <v>52800</v>
      </c>
      <c r="I221" s="7">
        <f>IFERROR(__xludf.DUMMYFUNCTION("""COMPUTED_VALUE"""),45000.0)</f>
        <v>45000</v>
      </c>
      <c r="J221" s="7">
        <f>IFERROR(__xludf.DUMMYFUNCTION("""COMPUTED_VALUE"""),45008.0)</f>
        <v>45008</v>
      </c>
      <c r="K221" s="5" t="str">
        <f>IFERROR(__xludf.DUMMYFUNCTION("""COMPUTED_VALUE"""),"high-income")</f>
        <v>high-income</v>
      </c>
      <c r="L221" s="5" t="str">
        <f>IFERROR(__xludf.DUMMYFUNCTION("""COMPUTED_VALUE"""),"Panama")</f>
        <v>Panama</v>
      </c>
      <c r="M221" s="5" t="str">
        <f>IFERROR(__xludf.DUMMYFUNCTION("""COMPUTED_VALUE"""),"Middle East &amp; North Africa")</f>
        <v>Middle East &amp; North Africa</v>
      </c>
      <c r="N221" s="5" t="str">
        <f>IFERROR(__xludf.DUMMYFUNCTION("""COMPUTED_VALUE"""),"Asia-Pacific")</f>
        <v>Asia-Pacific</v>
      </c>
      <c r="O221" s="5" t="str">
        <f>IFERROR(__xludf.DUMMYFUNCTION("""COMPUTED_VALUE"""),"developing")</f>
        <v>developing</v>
      </c>
      <c r="P221" s="5"/>
      <c r="Q221" s="5"/>
    </row>
    <row r="222">
      <c r="A222" s="5" t="str">
        <f>IFERROR(__xludf.DUMMYFUNCTION("""COMPUTED_VALUE"""),"Outbound")</f>
        <v>Outbound</v>
      </c>
      <c r="B222" s="5">
        <f>IFERROR(__xludf.DUMMYFUNCTION("""COMPUTED_VALUE"""),815.0)</f>
        <v>815</v>
      </c>
      <c r="C222" s="5" t="str">
        <f>IFERROR(__xludf.DUMMYFUNCTION("""COMPUTED_VALUE"""),"FRANCESCO CORRADO")</f>
        <v>FRANCESCO CORRADO</v>
      </c>
      <c r="D222" s="5">
        <f>IFERROR(__xludf.DUMMYFUNCTION("""COMPUTED_VALUE"""),9314636.0)</f>
        <v>9314636</v>
      </c>
      <c r="E222" s="5" t="str">
        <f>IFERROR(__xludf.DUMMYFUNCTION("""COMPUTED_VALUE"""),"Odesa")</f>
        <v>Odesa</v>
      </c>
      <c r="F222" s="5" t="str">
        <f>IFERROR(__xludf.DUMMYFUNCTION("""COMPUTED_VALUE"""),"China")</f>
        <v>China</v>
      </c>
      <c r="G222" s="5" t="str">
        <f>IFERROR(__xludf.DUMMYFUNCTION("""COMPUTED_VALUE"""),"Corn")</f>
        <v>Corn</v>
      </c>
      <c r="H222" s="6">
        <f>IFERROR(__xludf.DUMMYFUNCTION("""COMPUTED_VALUE"""),29025.0)</f>
        <v>29025</v>
      </c>
      <c r="I222" s="7">
        <f>IFERROR(__xludf.DUMMYFUNCTION("""COMPUTED_VALUE"""),45000.0)</f>
        <v>45000</v>
      </c>
      <c r="J222" s="7">
        <f>IFERROR(__xludf.DUMMYFUNCTION("""COMPUTED_VALUE"""),45009.0)</f>
        <v>45009</v>
      </c>
      <c r="K222" s="5" t="str">
        <f>IFERROR(__xludf.DUMMYFUNCTION("""COMPUTED_VALUE"""),"upper-middle-income")</f>
        <v>upper-middle-income</v>
      </c>
      <c r="L222" s="5" t="str">
        <f>IFERROR(__xludf.DUMMYFUNCTION("""COMPUTED_VALUE"""),"Bahamas")</f>
        <v>Bahamas</v>
      </c>
      <c r="M222" s="5" t="str">
        <f>IFERROR(__xludf.DUMMYFUNCTION("""COMPUTED_VALUE"""),"East Asia &amp; Pacific")</f>
        <v>East Asia &amp; Pacific</v>
      </c>
      <c r="N222" s="5" t="str">
        <f>IFERROR(__xludf.DUMMYFUNCTION("""COMPUTED_VALUE"""),"Asia-Pacific")</f>
        <v>Asia-Pacific</v>
      </c>
      <c r="O222" s="5" t="str">
        <f>IFERROR(__xludf.DUMMYFUNCTION("""COMPUTED_VALUE"""),"developing")</f>
        <v>developing</v>
      </c>
      <c r="P222" s="5"/>
      <c r="Q222" s="5"/>
    </row>
    <row r="223">
      <c r="A223" s="5" t="str">
        <f>IFERROR(__xludf.DUMMYFUNCTION("""COMPUTED_VALUE"""),"Outbound +")</f>
        <v>Outbound +</v>
      </c>
      <c r="B223" s="5">
        <f>IFERROR(__xludf.DUMMYFUNCTION("""COMPUTED_VALUE"""),815.0)</f>
        <v>815</v>
      </c>
      <c r="C223" s="5" t="str">
        <f>IFERROR(__xludf.DUMMYFUNCTION("""COMPUTED_VALUE"""),"FRANCESCO CORRADO")</f>
        <v>FRANCESCO CORRADO</v>
      </c>
      <c r="D223" s="5">
        <f>IFERROR(__xludf.DUMMYFUNCTION("""COMPUTED_VALUE"""),9314636.0)</f>
        <v>9314636</v>
      </c>
      <c r="E223" s="5" t="str">
        <f>IFERROR(__xludf.DUMMYFUNCTION("""COMPUTED_VALUE"""),"Odesa")</f>
        <v>Odesa</v>
      </c>
      <c r="F223" s="5" t="str">
        <f>IFERROR(__xludf.DUMMYFUNCTION("""COMPUTED_VALUE"""),"China")</f>
        <v>China</v>
      </c>
      <c r="G223" s="5" t="str">
        <f>IFERROR(__xludf.DUMMYFUNCTION("""COMPUTED_VALUE"""),"Barley")</f>
        <v>Barley</v>
      </c>
      <c r="H223" s="6">
        <f>IFERROR(__xludf.DUMMYFUNCTION("""COMPUTED_VALUE"""),35063.0)</f>
        <v>35063</v>
      </c>
      <c r="I223" s="7">
        <f>IFERROR(__xludf.DUMMYFUNCTION("""COMPUTED_VALUE"""),45000.0)</f>
        <v>45000</v>
      </c>
      <c r="J223" s="7">
        <f>IFERROR(__xludf.DUMMYFUNCTION("""COMPUTED_VALUE"""),45009.0)</f>
        <v>45009</v>
      </c>
      <c r="K223" s="5" t="str">
        <f>IFERROR(__xludf.DUMMYFUNCTION("""COMPUTED_VALUE"""),"upper-middle-income")</f>
        <v>upper-middle-income</v>
      </c>
      <c r="L223" s="5" t="str">
        <f>IFERROR(__xludf.DUMMYFUNCTION("""COMPUTED_VALUE"""),"Bahamas")</f>
        <v>Bahamas</v>
      </c>
      <c r="M223" s="5" t="str">
        <f>IFERROR(__xludf.DUMMYFUNCTION("""COMPUTED_VALUE"""),"East Asia &amp; Pacific")</f>
        <v>East Asia &amp; Pacific</v>
      </c>
      <c r="N223" s="5" t="str">
        <f>IFERROR(__xludf.DUMMYFUNCTION("""COMPUTED_VALUE"""),"Asia-Pacific")</f>
        <v>Asia-Pacific</v>
      </c>
      <c r="O223" s="5" t="str">
        <f>IFERROR(__xludf.DUMMYFUNCTION("""COMPUTED_VALUE"""),"developing")</f>
        <v>developing</v>
      </c>
      <c r="P223" s="5"/>
      <c r="Q223" s="5"/>
    </row>
    <row r="224">
      <c r="A224" s="5" t="str">
        <f>IFERROR(__xludf.DUMMYFUNCTION("""COMPUTED_VALUE"""),"Outbound")</f>
        <v>Outbound</v>
      </c>
      <c r="B224" s="5">
        <f>IFERROR(__xludf.DUMMYFUNCTION("""COMPUTED_VALUE"""),814.0)</f>
        <v>814</v>
      </c>
      <c r="C224" s="5" t="str">
        <f>IFERROR(__xludf.DUMMYFUNCTION("""COMPUTED_VALUE"""),"YASA TEAM")</f>
        <v>YASA TEAM</v>
      </c>
      <c r="D224" s="5">
        <f>IFERROR(__xludf.DUMMYFUNCTION("""COMPUTED_VALUE"""),9296250.0)</f>
        <v>9296250</v>
      </c>
      <c r="E224" s="5" t="str">
        <f>IFERROR(__xludf.DUMMYFUNCTION("""COMPUTED_VALUE"""),"Odesa")</f>
        <v>Odesa</v>
      </c>
      <c r="F224" s="5" t="str">
        <f>IFERROR(__xludf.DUMMYFUNCTION("""COMPUTED_VALUE"""),"China")</f>
        <v>China</v>
      </c>
      <c r="G224" s="5" t="str">
        <f>IFERROR(__xludf.DUMMYFUNCTION("""COMPUTED_VALUE"""),"Corn")</f>
        <v>Corn</v>
      </c>
      <c r="H224" s="6">
        <f>IFERROR(__xludf.DUMMYFUNCTION("""COMPUTED_VALUE"""),64000.0)</f>
        <v>64000</v>
      </c>
      <c r="I224" s="7">
        <f>IFERROR(__xludf.DUMMYFUNCTION("""COMPUTED_VALUE"""),44999.0)</f>
        <v>44999</v>
      </c>
      <c r="J224" s="7">
        <f>IFERROR(__xludf.DUMMYFUNCTION("""COMPUTED_VALUE"""),45010.0)</f>
        <v>45010</v>
      </c>
      <c r="K224" s="5" t="str">
        <f>IFERROR(__xludf.DUMMYFUNCTION("""COMPUTED_VALUE"""),"upper-middle-income")</f>
        <v>upper-middle-income</v>
      </c>
      <c r="L224" s="5" t="str">
        <f>IFERROR(__xludf.DUMMYFUNCTION("""COMPUTED_VALUE"""),"Marshall Islands")</f>
        <v>Marshall Islands</v>
      </c>
      <c r="M224" s="5" t="str">
        <f>IFERROR(__xludf.DUMMYFUNCTION("""COMPUTED_VALUE"""),"East Asia &amp; Pacific")</f>
        <v>East Asia &amp; Pacific</v>
      </c>
      <c r="N224" s="5" t="str">
        <f>IFERROR(__xludf.DUMMYFUNCTION("""COMPUTED_VALUE"""),"Asia-Pacific")</f>
        <v>Asia-Pacific</v>
      </c>
      <c r="O224" s="5" t="str">
        <f>IFERROR(__xludf.DUMMYFUNCTION("""COMPUTED_VALUE"""),"developing")</f>
        <v>developing</v>
      </c>
      <c r="P224" s="5"/>
      <c r="Q224" s="5"/>
    </row>
    <row r="225">
      <c r="A225" s="5" t="str">
        <f>IFERROR(__xludf.DUMMYFUNCTION("""COMPUTED_VALUE"""),"Outbound")</f>
        <v>Outbound</v>
      </c>
      <c r="B225" s="5">
        <f>IFERROR(__xludf.DUMMYFUNCTION("""COMPUTED_VALUE"""),813.0)</f>
        <v>813</v>
      </c>
      <c r="C225" s="5" t="str">
        <f>IFERROR(__xludf.DUMMYFUNCTION("""COMPUTED_VALUE"""),"OCEANIC LEADER")</f>
        <v>OCEANIC LEADER</v>
      </c>
      <c r="D225" s="5">
        <f>IFERROR(__xludf.DUMMYFUNCTION("""COMPUTED_VALUE"""),9300283.0)</f>
        <v>9300283</v>
      </c>
      <c r="E225" s="5" t="str">
        <f>IFERROR(__xludf.DUMMYFUNCTION("""COMPUTED_VALUE"""),"Chornomorsk")</f>
        <v>Chornomorsk</v>
      </c>
      <c r="F225" s="5" t="str">
        <f>IFERROR(__xludf.DUMMYFUNCTION("""COMPUTED_VALUE"""),"The Netherlands")</f>
        <v>The Netherlands</v>
      </c>
      <c r="G225" s="5" t="str">
        <f>IFERROR(__xludf.DUMMYFUNCTION("""COMPUTED_VALUE"""),"Corn")</f>
        <v>Corn</v>
      </c>
      <c r="H225" s="6">
        <f>IFERROR(__xludf.DUMMYFUNCTION("""COMPUTED_VALUE"""),48000.0)</f>
        <v>48000</v>
      </c>
      <c r="I225" s="7">
        <f>IFERROR(__xludf.DUMMYFUNCTION("""COMPUTED_VALUE"""),44999.0)</f>
        <v>44999</v>
      </c>
      <c r="J225" s="7">
        <f>IFERROR(__xludf.DUMMYFUNCTION("""COMPUTED_VALUE"""),45013.0)</f>
        <v>45013</v>
      </c>
      <c r="K225" s="5" t="str">
        <f>IFERROR(__xludf.DUMMYFUNCTION("""COMPUTED_VALUE"""),"high-income")</f>
        <v>high-income</v>
      </c>
      <c r="L225" s="5" t="str">
        <f>IFERROR(__xludf.DUMMYFUNCTION("""COMPUTED_VALUE"""),"Liberia")</f>
        <v>Liberia</v>
      </c>
      <c r="M225" s="5" t="str">
        <f>IFERROR(__xludf.DUMMYFUNCTION("""COMPUTED_VALUE"""),"Europe &amp; Central Asia")</f>
        <v>Europe &amp; Central Asia</v>
      </c>
      <c r="N225" s="5" t="str">
        <f>IFERROR(__xludf.DUMMYFUNCTION("""COMPUTED_VALUE"""),"Western Europe and Others")</f>
        <v>Western Europe and Others</v>
      </c>
      <c r="O225" s="5" t="str">
        <f>IFERROR(__xludf.DUMMYFUNCTION("""COMPUTED_VALUE"""),"developed")</f>
        <v>developed</v>
      </c>
      <c r="P225" s="5"/>
      <c r="Q225" s="5"/>
    </row>
    <row r="226">
      <c r="A226" s="5" t="str">
        <f>IFERROR(__xludf.DUMMYFUNCTION("""COMPUTED_VALUE"""),"Outbound")</f>
        <v>Outbound</v>
      </c>
      <c r="B226" s="5">
        <f>IFERROR(__xludf.DUMMYFUNCTION("""COMPUTED_VALUE"""),812.0)</f>
        <v>812</v>
      </c>
      <c r="C226" s="5" t="str">
        <f>IFERROR(__xludf.DUMMYFUNCTION("""COMPUTED_VALUE"""),"NAVIOS ORBITER")</f>
        <v>NAVIOS ORBITER</v>
      </c>
      <c r="D226" s="5">
        <f>IFERROR(__xludf.DUMMYFUNCTION("""COMPUTED_VALUE"""),9286865.0)</f>
        <v>9286865</v>
      </c>
      <c r="E226" s="5" t="str">
        <f>IFERROR(__xludf.DUMMYFUNCTION("""COMPUTED_VALUE"""),"Yuzhny/Pivdennyi")</f>
        <v>Yuzhny/Pivdennyi</v>
      </c>
      <c r="F226" s="5" t="str">
        <f>IFERROR(__xludf.DUMMYFUNCTION("""COMPUTED_VALUE"""),"Spain")</f>
        <v>Spain</v>
      </c>
      <c r="G226" s="5" t="str">
        <f>IFERROR(__xludf.DUMMYFUNCTION("""COMPUTED_VALUE"""),"Corn")</f>
        <v>Corn</v>
      </c>
      <c r="H226" s="6">
        <f>IFERROR(__xludf.DUMMYFUNCTION("""COMPUTED_VALUE"""),67157.0)</f>
        <v>67157</v>
      </c>
      <c r="I226" s="7">
        <f>IFERROR(__xludf.DUMMYFUNCTION("""COMPUTED_VALUE"""),44999.0)</f>
        <v>44999</v>
      </c>
      <c r="J226" s="7">
        <f>IFERROR(__xludf.DUMMYFUNCTION("""COMPUTED_VALUE"""),45008.0)</f>
        <v>45008</v>
      </c>
      <c r="K226" s="5" t="str">
        <f>IFERROR(__xludf.DUMMYFUNCTION("""COMPUTED_VALUE"""),"high-income")</f>
        <v>high-income</v>
      </c>
      <c r="L226" s="5" t="str">
        <f>IFERROR(__xludf.DUMMYFUNCTION("""COMPUTED_VALUE"""),"Panama")</f>
        <v>Panama</v>
      </c>
      <c r="M226" s="5" t="str">
        <f>IFERROR(__xludf.DUMMYFUNCTION("""COMPUTED_VALUE"""),"Europe &amp; Central Asia")</f>
        <v>Europe &amp; Central Asia</v>
      </c>
      <c r="N226" s="5" t="str">
        <f>IFERROR(__xludf.DUMMYFUNCTION("""COMPUTED_VALUE"""),"Western Europe and Others")</f>
        <v>Western Europe and Others</v>
      </c>
      <c r="O226" s="5" t="str">
        <f>IFERROR(__xludf.DUMMYFUNCTION("""COMPUTED_VALUE"""),"developed")</f>
        <v>developed</v>
      </c>
      <c r="P226" s="5"/>
      <c r="Q226" s="5"/>
    </row>
    <row r="227">
      <c r="A227" s="5" t="str">
        <f>IFERROR(__xludf.DUMMYFUNCTION("""COMPUTED_VALUE"""),"Outbound")</f>
        <v>Outbound</v>
      </c>
      <c r="B227" s="5">
        <f>IFERROR(__xludf.DUMMYFUNCTION("""COMPUTED_VALUE"""),811.0)</f>
        <v>811</v>
      </c>
      <c r="C227" s="5" t="str">
        <f>IFERROR(__xludf.DUMMYFUNCTION("""COMPUTED_VALUE"""),"GREENER")</f>
        <v>GREENER</v>
      </c>
      <c r="D227" s="5">
        <f>IFERROR(__xludf.DUMMYFUNCTION("""COMPUTED_VALUE"""),9618616.0)</f>
        <v>9618616</v>
      </c>
      <c r="E227" s="5" t="str">
        <f>IFERROR(__xludf.DUMMYFUNCTION("""COMPUTED_VALUE"""),"Chornomorsk")</f>
        <v>Chornomorsk</v>
      </c>
      <c r="F227" s="5" t="str">
        <f>IFERROR(__xludf.DUMMYFUNCTION("""COMPUTED_VALUE"""),"China")</f>
        <v>China</v>
      </c>
      <c r="G227" s="5" t="str">
        <f>IFERROR(__xludf.DUMMYFUNCTION("""COMPUTED_VALUE"""),"Sunflower meal")</f>
        <v>Sunflower meal</v>
      </c>
      <c r="H227" s="6">
        <f>IFERROR(__xludf.DUMMYFUNCTION("""COMPUTED_VALUE"""),29870.0)</f>
        <v>29870</v>
      </c>
      <c r="I227" s="7">
        <f>IFERROR(__xludf.DUMMYFUNCTION("""COMPUTED_VALUE"""),44999.0)</f>
        <v>44999</v>
      </c>
      <c r="J227" s="7">
        <f>IFERROR(__xludf.DUMMYFUNCTION("""COMPUTED_VALUE"""),45011.0)</f>
        <v>45011</v>
      </c>
      <c r="K227" s="5" t="str">
        <f>IFERROR(__xludf.DUMMYFUNCTION("""COMPUTED_VALUE"""),"upper-middle-income")</f>
        <v>upper-middle-income</v>
      </c>
      <c r="L227" s="5" t="str">
        <f>IFERROR(__xludf.DUMMYFUNCTION("""COMPUTED_VALUE"""),"Marshall Islands")</f>
        <v>Marshall Islands</v>
      </c>
      <c r="M227" s="5" t="str">
        <f>IFERROR(__xludf.DUMMYFUNCTION("""COMPUTED_VALUE"""),"East Asia &amp; Pacific")</f>
        <v>East Asia &amp; Pacific</v>
      </c>
      <c r="N227" s="5" t="str">
        <f>IFERROR(__xludf.DUMMYFUNCTION("""COMPUTED_VALUE"""),"Asia-Pacific")</f>
        <v>Asia-Pacific</v>
      </c>
      <c r="O227" s="5" t="str">
        <f>IFERROR(__xludf.DUMMYFUNCTION("""COMPUTED_VALUE"""),"developing")</f>
        <v>developing</v>
      </c>
      <c r="P227" s="5"/>
      <c r="Q227" s="5"/>
    </row>
    <row r="228">
      <c r="A228" s="5" t="str">
        <f>IFERROR(__xludf.DUMMYFUNCTION("""COMPUTED_VALUE"""),"Outbound +")</f>
        <v>Outbound +</v>
      </c>
      <c r="B228" s="5">
        <f>IFERROR(__xludf.DUMMYFUNCTION("""COMPUTED_VALUE"""),811.0)</f>
        <v>811</v>
      </c>
      <c r="C228" s="5" t="str">
        <f>IFERROR(__xludf.DUMMYFUNCTION("""COMPUTED_VALUE"""),"GREENER")</f>
        <v>GREENER</v>
      </c>
      <c r="D228" s="5">
        <f>IFERROR(__xludf.DUMMYFUNCTION("""COMPUTED_VALUE"""),9618616.0)</f>
        <v>9618616</v>
      </c>
      <c r="E228" s="5" t="str">
        <f>IFERROR(__xludf.DUMMYFUNCTION("""COMPUTED_VALUE"""),"Chornomorsk")</f>
        <v>Chornomorsk</v>
      </c>
      <c r="F228" s="5" t="str">
        <f>IFERROR(__xludf.DUMMYFUNCTION("""COMPUTED_VALUE"""),"China")</f>
        <v>China</v>
      </c>
      <c r="G228" s="5" t="str">
        <f>IFERROR(__xludf.DUMMYFUNCTION("""COMPUTED_VALUE"""),"Corn")</f>
        <v>Corn</v>
      </c>
      <c r="H228" s="6">
        <f>IFERROR(__xludf.DUMMYFUNCTION("""COMPUTED_VALUE"""),10500.0)</f>
        <v>10500</v>
      </c>
      <c r="I228" s="7">
        <f>IFERROR(__xludf.DUMMYFUNCTION("""COMPUTED_VALUE"""),44999.0)</f>
        <v>44999</v>
      </c>
      <c r="J228" s="7">
        <f>IFERROR(__xludf.DUMMYFUNCTION("""COMPUTED_VALUE"""),45011.0)</f>
        <v>45011</v>
      </c>
      <c r="K228" s="5" t="str">
        <f>IFERROR(__xludf.DUMMYFUNCTION("""COMPUTED_VALUE"""),"upper-middle-income")</f>
        <v>upper-middle-income</v>
      </c>
      <c r="L228" s="5" t="str">
        <f>IFERROR(__xludf.DUMMYFUNCTION("""COMPUTED_VALUE"""),"Marshall Islands")</f>
        <v>Marshall Islands</v>
      </c>
      <c r="M228" s="5" t="str">
        <f>IFERROR(__xludf.DUMMYFUNCTION("""COMPUTED_VALUE"""),"East Asia &amp; Pacific")</f>
        <v>East Asia &amp; Pacific</v>
      </c>
      <c r="N228" s="5" t="str">
        <f>IFERROR(__xludf.DUMMYFUNCTION("""COMPUTED_VALUE"""),"Asia-Pacific")</f>
        <v>Asia-Pacific</v>
      </c>
      <c r="O228" s="5" t="str">
        <f>IFERROR(__xludf.DUMMYFUNCTION("""COMPUTED_VALUE"""),"developing")</f>
        <v>developing</v>
      </c>
      <c r="P228" s="5"/>
      <c r="Q228" s="5"/>
    </row>
    <row r="229">
      <c r="A229" s="5" t="str">
        <f>IFERROR(__xludf.DUMMYFUNCTION("""COMPUTED_VALUE"""),"Outbound")</f>
        <v>Outbound</v>
      </c>
      <c r="B229" s="5">
        <f>IFERROR(__xludf.DUMMYFUNCTION("""COMPUTED_VALUE"""),810.0)</f>
        <v>810</v>
      </c>
      <c r="C229" s="5" t="str">
        <f>IFERROR(__xludf.DUMMYFUNCTION("""COMPUTED_VALUE"""),"CHRISTINA")</f>
        <v>CHRISTINA</v>
      </c>
      <c r="D229" s="5">
        <f>IFERROR(__xludf.DUMMYFUNCTION("""COMPUTED_VALUE"""),9584188.0)</f>
        <v>9584188</v>
      </c>
      <c r="E229" s="5" t="str">
        <f>IFERROR(__xludf.DUMMYFUNCTION("""COMPUTED_VALUE"""),"Yuzhny/Pivdennyi")</f>
        <v>Yuzhny/Pivdennyi</v>
      </c>
      <c r="F229" s="5" t="str">
        <f>IFERROR(__xludf.DUMMYFUNCTION("""COMPUTED_VALUE"""),"Spain")</f>
        <v>Spain</v>
      </c>
      <c r="G229" s="5" t="str">
        <f>IFERROR(__xludf.DUMMYFUNCTION("""COMPUTED_VALUE"""),"Corn")</f>
        <v>Corn</v>
      </c>
      <c r="H229" s="6">
        <f>IFERROR(__xludf.DUMMYFUNCTION("""COMPUTED_VALUE"""),31150.0)</f>
        <v>31150</v>
      </c>
      <c r="I229" s="7">
        <f>IFERROR(__xludf.DUMMYFUNCTION("""COMPUTED_VALUE"""),44999.0)</f>
        <v>44999</v>
      </c>
      <c r="J229" s="7">
        <f>IFERROR(__xludf.DUMMYFUNCTION("""COMPUTED_VALUE"""),45007.0)</f>
        <v>45007</v>
      </c>
      <c r="K229" s="5" t="str">
        <f>IFERROR(__xludf.DUMMYFUNCTION("""COMPUTED_VALUE"""),"high-income")</f>
        <v>high-income</v>
      </c>
      <c r="L229" s="5" t="str">
        <f>IFERROR(__xludf.DUMMYFUNCTION("""COMPUTED_VALUE"""),"Marshall Islands")</f>
        <v>Marshall Islands</v>
      </c>
      <c r="M229" s="5" t="str">
        <f>IFERROR(__xludf.DUMMYFUNCTION("""COMPUTED_VALUE"""),"Europe &amp; Central Asia")</f>
        <v>Europe &amp; Central Asia</v>
      </c>
      <c r="N229" s="5" t="str">
        <f>IFERROR(__xludf.DUMMYFUNCTION("""COMPUTED_VALUE"""),"Western Europe and Others")</f>
        <v>Western Europe and Others</v>
      </c>
      <c r="O229" s="5" t="str">
        <f>IFERROR(__xludf.DUMMYFUNCTION("""COMPUTED_VALUE"""),"developed")</f>
        <v>developed</v>
      </c>
      <c r="P229" s="5"/>
      <c r="Q229" s="5"/>
    </row>
    <row r="230">
      <c r="A230" s="5" t="str">
        <f>IFERROR(__xludf.DUMMYFUNCTION("""COMPUTED_VALUE"""),"Outbound")</f>
        <v>Outbound</v>
      </c>
      <c r="B230" s="5">
        <f>IFERROR(__xludf.DUMMYFUNCTION("""COMPUTED_VALUE"""),809.0)</f>
        <v>809</v>
      </c>
      <c r="C230" s="5" t="str">
        <f>IFERROR(__xludf.DUMMYFUNCTION("""COMPUTED_VALUE"""),"CHEM HERO")</f>
        <v>CHEM HERO</v>
      </c>
      <c r="D230" s="5">
        <f>IFERROR(__xludf.DUMMYFUNCTION("""COMPUTED_VALUE"""),9402823.0)</f>
        <v>9402823</v>
      </c>
      <c r="E230" s="5" t="str">
        <f>IFERROR(__xludf.DUMMYFUNCTION("""COMPUTED_VALUE"""),"Odesa")</f>
        <v>Odesa</v>
      </c>
      <c r="F230" s="5" t="str">
        <f>IFERROR(__xludf.DUMMYFUNCTION("""COMPUTED_VALUE"""),"Spain")</f>
        <v>Spain</v>
      </c>
      <c r="G230" s="5" t="str">
        <f>IFERROR(__xludf.DUMMYFUNCTION("""COMPUTED_VALUE"""),"Sunflower oil")</f>
        <v>Sunflower oil</v>
      </c>
      <c r="H230" s="6">
        <f>IFERROR(__xludf.DUMMYFUNCTION("""COMPUTED_VALUE"""),15300.0)</f>
        <v>15300</v>
      </c>
      <c r="I230" s="7">
        <f>IFERROR(__xludf.DUMMYFUNCTION("""COMPUTED_VALUE"""),44999.0)</f>
        <v>44999</v>
      </c>
      <c r="J230" s="7">
        <f>IFERROR(__xludf.DUMMYFUNCTION("""COMPUTED_VALUE"""),45002.0)</f>
        <v>45002</v>
      </c>
      <c r="K230" s="5" t="str">
        <f>IFERROR(__xludf.DUMMYFUNCTION("""COMPUTED_VALUE"""),"high-income")</f>
        <v>high-income</v>
      </c>
      <c r="L230" s="5" t="str">
        <f>IFERROR(__xludf.DUMMYFUNCTION("""COMPUTED_VALUE"""),"Liberia")</f>
        <v>Liberia</v>
      </c>
      <c r="M230" s="5" t="str">
        <f>IFERROR(__xludf.DUMMYFUNCTION("""COMPUTED_VALUE"""),"Europe &amp; Central Asia")</f>
        <v>Europe &amp; Central Asia</v>
      </c>
      <c r="N230" s="5" t="str">
        <f>IFERROR(__xludf.DUMMYFUNCTION("""COMPUTED_VALUE"""),"Western Europe and Others")</f>
        <v>Western Europe and Others</v>
      </c>
      <c r="O230" s="5" t="str">
        <f>IFERROR(__xludf.DUMMYFUNCTION("""COMPUTED_VALUE"""),"developed")</f>
        <v>developed</v>
      </c>
      <c r="P230" s="5"/>
      <c r="Q230" s="5"/>
    </row>
    <row r="231">
      <c r="A231" s="5" t="str">
        <f>IFERROR(__xludf.DUMMYFUNCTION("""COMPUTED_VALUE"""),"Outbound")</f>
        <v>Outbound</v>
      </c>
      <c r="B231" s="5">
        <f>IFERROR(__xludf.DUMMYFUNCTION("""COMPUTED_VALUE"""),808.0)</f>
        <v>808</v>
      </c>
      <c r="C231" s="5" t="str">
        <f>IFERROR(__xludf.DUMMYFUNCTION("""COMPUTED_VALUE"""),"ZHENG RUN")</f>
        <v>ZHENG RUN</v>
      </c>
      <c r="D231" s="5">
        <f>IFERROR(__xludf.DUMMYFUNCTION("""COMPUTED_VALUE"""),9593816.0)</f>
        <v>9593816</v>
      </c>
      <c r="E231" s="5" t="str">
        <f>IFERROR(__xludf.DUMMYFUNCTION("""COMPUTED_VALUE"""),"Odesa")</f>
        <v>Odesa</v>
      </c>
      <c r="F231" s="5" t="str">
        <f>IFERROR(__xludf.DUMMYFUNCTION("""COMPUTED_VALUE"""),"Spain")</f>
        <v>Spain</v>
      </c>
      <c r="G231" s="5" t="str">
        <f>IFERROR(__xludf.DUMMYFUNCTION("""COMPUTED_VALUE"""),"Corn")</f>
        <v>Corn</v>
      </c>
      <c r="H231" s="6">
        <f>IFERROR(__xludf.DUMMYFUNCTION("""COMPUTED_VALUE"""),66000.0)</f>
        <v>66000</v>
      </c>
      <c r="I231" s="7">
        <f>IFERROR(__xludf.DUMMYFUNCTION("""COMPUTED_VALUE"""),44998.0)</f>
        <v>44998</v>
      </c>
      <c r="J231" s="7">
        <f>IFERROR(__xludf.DUMMYFUNCTION("""COMPUTED_VALUE"""),45006.0)</f>
        <v>45006</v>
      </c>
      <c r="K231" s="5" t="str">
        <f>IFERROR(__xludf.DUMMYFUNCTION("""COMPUTED_VALUE"""),"high-income")</f>
        <v>high-income</v>
      </c>
      <c r="L231" s="5" t="str">
        <f>IFERROR(__xludf.DUMMYFUNCTION("""COMPUTED_VALUE"""),"Panama")</f>
        <v>Panama</v>
      </c>
      <c r="M231" s="5" t="str">
        <f>IFERROR(__xludf.DUMMYFUNCTION("""COMPUTED_VALUE"""),"Europe &amp; Central Asia")</f>
        <v>Europe &amp; Central Asia</v>
      </c>
      <c r="N231" s="5" t="str">
        <f>IFERROR(__xludf.DUMMYFUNCTION("""COMPUTED_VALUE"""),"Western Europe and Others")</f>
        <v>Western Europe and Others</v>
      </c>
      <c r="O231" s="5" t="str">
        <f>IFERROR(__xludf.DUMMYFUNCTION("""COMPUTED_VALUE"""),"developed")</f>
        <v>developed</v>
      </c>
      <c r="P231" s="5"/>
      <c r="Q231" s="5"/>
    </row>
    <row r="232">
      <c r="A232" s="5" t="str">
        <f>IFERROR(__xludf.DUMMYFUNCTION("""COMPUTED_VALUE"""),"Outbound")</f>
        <v>Outbound</v>
      </c>
      <c r="B232" s="5">
        <f>IFERROR(__xludf.DUMMYFUNCTION("""COMPUTED_VALUE"""),807.0)</f>
        <v>807</v>
      </c>
      <c r="C232" s="5" t="str">
        <f>IFERROR(__xludf.DUMMYFUNCTION("""COMPUTED_VALUE"""),"K SUKRET")</f>
        <v>K SUKRET</v>
      </c>
      <c r="D232" s="5">
        <f>IFERROR(__xludf.DUMMYFUNCTION("""COMPUTED_VALUE"""),9571442.0)</f>
        <v>9571442</v>
      </c>
      <c r="E232" s="5" t="str">
        <f>IFERROR(__xludf.DUMMYFUNCTION("""COMPUTED_VALUE"""),"Chornomorsk")</f>
        <v>Chornomorsk</v>
      </c>
      <c r="F232" s="5" t="str">
        <f>IFERROR(__xludf.DUMMYFUNCTION("""COMPUTED_VALUE"""),"Türkiye")</f>
        <v>Türkiye</v>
      </c>
      <c r="G232" s="5" t="str">
        <f>IFERROR(__xludf.DUMMYFUNCTION("""COMPUTED_VALUE"""),"Wheat")</f>
        <v>Wheat</v>
      </c>
      <c r="H232" s="6">
        <f>IFERROR(__xludf.DUMMYFUNCTION("""COMPUTED_VALUE"""),31300.0)</f>
        <v>31300</v>
      </c>
      <c r="I232" s="7">
        <f>IFERROR(__xludf.DUMMYFUNCTION("""COMPUTED_VALUE"""),44998.0)</f>
        <v>44998</v>
      </c>
      <c r="J232" s="7">
        <f>IFERROR(__xludf.DUMMYFUNCTION("""COMPUTED_VALUE"""),45006.0)</f>
        <v>45006</v>
      </c>
      <c r="K232" s="5" t="str">
        <f>IFERROR(__xludf.DUMMYFUNCTION("""COMPUTED_VALUE"""),"upper-middle-income")</f>
        <v>upper-middle-income</v>
      </c>
      <c r="L232" s="5" t="str">
        <f>IFERROR(__xludf.DUMMYFUNCTION("""COMPUTED_VALUE"""),"Liberia")</f>
        <v>Liberia</v>
      </c>
      <c r="M232" s="5" t="str">
        <f>IFERROR(__xludf.DUMMYFUNCTION("""COMPUTED_VALUE"""),"Europe &amp; Central Asia")</f>
        <v>Europe &amp; Central Asia</v>
      </c>
      <c r="N232" s="5" t="str">
        <f>IFERROR(__xludf.DUMMYFUNCTION("""COMPUTED_VALUE"""),"Asia-Pacific")</f>
        <v>Asia-Pacific</v>
      </c>
      <c r="O232" s="5" t="str">
        <f>IFERROR(__xludf.DUMMYFUNCTION("""COMPUTED_VALUE"""),"developing")</f>
        <v>developing</v>
      </c>
      <c r="P232" s="5"/>
      <c r="Q232" s="5"/>
    </row>
    <row r="233">
      <c r="A233" s="5" t="str">
        <f>IFERROR(__xludf.DUMMYFUNCTION("""COMPUTED_VALUE"""),"Outbound")</f>
        <v>Outbound</v>
      </c>
      <c r="B233" s="5">
        <f>IFERROR(__xludf.DUMMYFUNCTION("""COMPUTED_VALUE"""),806.0)</f>
        <v>806</v>
      </c>
      <c r="C233" s="5" t="str">
        <f>IFERROR(__xludf.DUMMYFUNCTION("""COMPUTED_VALUE"""),"IOLCOS FIGHTER")</f>
        <v>IOLCOS FIGHTER</v>
      </c>
      <c r="D233" s="5">
        <f>IFERROR(__xludf.DUMMYFUNCTION("""COMPUTED_VALUE"""),9664964.0)</f>
        <v>9664964</v>
      </c>
      <c r="E233" s="5" t="str">
        <f>IFERROR(__xludf.DUMMYFUNCTION("""COMPUTED_VALUE"""),"Chornomorsk")</f>
        <v>Chornomorsk</v>
      </c>
      <c r="F233" s="5" t="str">
        <f>IFERROR(__xludf.DUMMYFUNCTION("""COMPUTED_VALUE"""),"China")</f>
        <v>China</v>
      </c>
      <c r="G233" s="5" t="str">
        <f>IFERROR(__xludf.DUMMYFUNCTION("""COMPUTED_VALUE"""),"Corn")</f>
        <v>Corn</v>
      </c>
      <c r="H233" s="6">
        <f>IFERROR(__xludf.DUMMYFUNCTION("""COMPUTED_VALUE"""),63260.0)</f>
        <v>63260</v>
      </c>
      <c r="I233" s="7">
        <f>IFERROR(__xludf.DUMMYFUNCTION("""COMPUTED_VALUE"""),44998.0)</f>
        <v>44998</v>
      </c>
      <c r="J233" s="7">
        <f>IFERROR(__xludf.DUMMYFUNCTION("""COMPUTED_VALUE"""),45010.0)</f>
        <v>45010</v>
      </c>
      <c r="K233" s="5" t="str">
        <f>IFERROR(__xludf.DUMMYFUNCTION("""COMPUTED_VALUE"""),"upper-middle-income")</f>
        <v>upper-middle-income</v>
      </c>
      <c r="L233" s="5" t="str">
        <f>IFERROR(__xludf.DUMMYFUNCTION("""COMPUTED_VALUE"""),"Malta")</f>
        <v>Malta</v>
      </c>
      <c r="M233" s="5" t="str">
        <f>IFERROR(__xludf.DUMMYFUNCTION("""COMPUTED_VALUE"""),"East Asia &amp; Pacific")</f>
        <v>East Asia &amp; Pacific</v>
      </c>
      <c r="N233" s="5" t="str">
        <f>IFERROR(__xludf.DUMMYFUNCTION("""COMPUTED_VALUE"""),"Asia-Pacific")</f>
        <v>Asia-Pacific</v>
      </c>
      <c r="O233" s="5" t="str">
        <f>IFERROR(__xludf.DUMMYFUNCTION("""COMPUTED_VALUE"""),"developing")</f>
        <v>developing</v>
      </c>
      <c r="P233" s="5"/>
      <c r="Q233" s="5"/>
    </row>
    <row r="234">
      <c r="A234" s="5" t="str">
        <f>IFERROR(__xludf.DUMMYFUNCTION("""COMPUTED_VALUE"""),"Outbound")</f>
        <v>Outbound</v>
      </c>
      <c r="B234" s="5">
        <f>IFERROR(__xludf.DUMMYFUNCTION("""COMPUTED_VALUE"""),805.0)</f>
        <v>805</v>
      </c>
      <c r="C234" s="5" t="str">
        <f>IFERROR(__xludf.DUMMYFUNCTION("""COMPUTED_VALUE"""),"ZHENG KAI")</f>
        <v>ZHENG KAI</v>
      </c>
      <c r="D234" s="5">
        <f>IFERROR(__xludf.DUMMYFUNCTION("""COMPUTED_VALUE"""),9593787.0)</f>
        <v>9593787</v>
      </c>
      <c r="E234" s="5" t="str">
        <f>IFERROR(__xludf.DUMMYFUNCTION("""COMPUTED_VALUE"""),"Yuzhny/Pivdennyi")</f>
        <v>Yuzhny/Pivdennyi</v>
      </c>
      <c r="F234" s="5" t="str">
        <f>IFERROR(__xludf.DUMMYFUNCTION("""COMPUTED_VALUE"""),"China")</f>
        <v>China</v>
      </c>
      <c r="G234" s="5" t="str">
        <f>IFERROR(__xludf.DUMMYFUNCTION("""COMPUTED_VALUE"""),"Barley")</f>
        <v>Barley</v>
      </c>
      <c r="H234" s="6">
        <f>IFERROR(__xludf.DUMMYFUNCTION("""COMPUTED_VALUE"""),35548.0)</f>
        <v>35548</v>
      </c>
      <c r="I234" s="7">
        <f>IFERROR(__xludf.DUMMYFUNCTION("""COMPUTED_VALUE"""),44996.0)</f>
        <v>44996</v>
      </c>
      <c r="J234" s="7">
        <f>IFERROR(__xludf.DUMMYFUNCTION("""COMPUTED_VALUE"""),45004.0)</f>
        <v>45004</v>
      </c>
      <c r="K234" s="5" t="str">
        <f>IFERROR(__xludf.DUMMYFUNCTION("""COMPUTED_VALUE"""),"upper-middle-income")</f>
        <v>upper-middle-income</v>
      </c>
      <c r="L234" s="5" t="str">
        <f>IFERROR(__xludf.DUMMYFUNCTION("""COMPUTED_VALUE"""),"Panama")</f>
        <v>Panama</v>
      </c>
      <c r="M234" s="5" t="str">
        <f>IFERROR(__xludf.DUMMYFUNCTION("""COMPUTED_VALUE"""),"East Asia &amp; Pacific")</f>
        <v>East Asia &amp; Pacific</v>
      </c>
      <c r="N234" s="5" t="str">
        <f>IFERROR(__xludf.DUMMYFUNCTION("""COMPUTED_VALUE"""),"Asia-Pacific")</f>
        <v>Asia-Pacific</v>
      </c>
      <c r="O234" s="5" t="str">
        <f>IFERROR(__xludf.DUMMYFUNCTION("""COMPUTED_VALUE"""),"developing")</f>
        <v>developing</v>
      </c>
      <c r="P234" s="5"/>
      <c r="Q234" s="5"/>
    </row>
    <row r="235">
      <c r="A235" s="5" t="str">
        <f>IFERROR(__xludf.DUMMYFUNCTION("""COMPUTED_VALUE"""),"Outbound +")</f>
        <v>Outbound +</v>
      </c>
      <c r="B235" s="5">
        <f>IFERROR(__xludf.DUMMYFUNCTION("""COMPUTED_VALUE"""),805.0)</f>
        <v>805</v>
      </c>
      <c r="C235" s="5" t="str">
        <f>IFERROR(__xludf.DUMMYFUNCTION("""COMPUTED_VALUE"""),"ZHENG KAI")</f>
        <v>ZHENG KAI</v>
      </c>
      <c r="D235" s="5">
        <f>IFERROR(__xludf.DUMMYFUNCTION("""COMPUTED_VALUE"""),9593787.0)</f>
        <v>9593787</v>
      </c>
      <c r="E235" s="5" t="str">
        <f>IFERROR(__xludf.DUMMYFUNCTION("""COMPUTED_VALUE"""),"Yuzhny/Pivdennyi")</f>
        <v>Yuzhny/Pivdennyi</v>
      </c>
      <c r="F235" s="5" t="str">
        <f>IFERROR(__xludf.DUMMYFUNCTION("""COMPUTED_VALUE"""),"China")</f>
        <v>China</v>
      </c>
      <c r="G235" s="5" t="str">
        <f>IFERROR(__xludf.DUMMYFUNCTION("""COMPUTED_VALUE"""),"Corn")</f>
        <v>Corn</v>
      </c>
      <c r="H235" s="6">
        <f>IFERROR(__xludf.DUMMYFUNCTION("""COMPUTED_VALUE"""),32155.0)</f>
        <v>32155</v>
      </c>
      <c r="I235" s="7">
        <f>IFERROR(__xludf.DUMMYFUNCTION("""COMPUTED_VALUE"""),44996.0)</f>
        <v>44996</v>
      </c>
      <c r="J235" s="7">
        <f>IFERROR(__xludf.DUMMYFUNCTION("""COMPUTED_VALUE"""),45004.0)</f>
        <v>45004</v>
      </c>
      <c r="K235" s="5" t="str">
        <f>IFERROR(__xludf.DUMMYFUNCTION("""COMPUTED_VALUE"""),"upper-middle-income")</f>
        <v>upper-middle-income</v>
      </c>
      <c r="L235" s="5" t="str">
        <f>IFERROR(__xludf.DUMMYFUNCTION("""COMPUTED_VALUE"""),"Panama")</f>
        <v>Panama</v>
      </c>
      <c r="M235" s="5" t="str">
        <f>IFERROR(__xludf.DUMMYFUNCTION("""COMPUTED_VALUE"""),"East Asia &amp; Pacific")</f>
        <v>East Asia &amp; Pacific</v>
      </c>
      <c r="N235" s="5" t="str">
        <f>IFERROR(__xludf.DUMMYFUNCTION("""COMPUTED_VALUE"""),"Asia-Pacific")</f>
        <v>Asia-Pacific</v>
      </c>
      <c r="O235" s="5" t="str">
        <f>IFERROR(__xludf.DUMMYFUNCTION("""COMPUTED_VALUE"""),"developing")</f>
        <v>developing</v>
      </c>
      <c r="P235" s="5"/>
      <c r="Q235" s="5"/>
    </row>
    <row r="236">
      <c r="A236" s="5" t="str">
        <f>IFERROR(__xludf.DUMMYFUNCTION("""COMPUTED_VALUE"""),"Outbound")</f>
        <v>Outbound</v>
      </c>
      <c r="B236" s="5">
        <f>IFERROR(__xludf.DUMMYFUNCTION("""COMPUTED_VALUE"""),804.0)</f>
        <v>804</v>
      </c>
      <c r="C236" s="5" t="str">
        <f>IFERROR(__xludf.DUMMYFUNCTION("""COMPUTED_VALUE"""),"INTEGRALE")</f>
        <v>INTEGRALE</v>
      </c>
      <c r="D236" s="5">
        <f>IFERROR(__xludf.DUMMYFUNCTION("""COMPUTED_VALUE"""),9673202.0)</f>
        <v>9673202</v>
      </c>
      <c r="E236" s="5" t="str">
        <f>IFERROR(__xludf.DUMMYFUNCTION("""COMPUTED_VALUE"""),"Yuzhny/Pivdennyi")</f>
        <v>Yuzhny/Pivdennyi</v>
      </c>
      <c r="F236" s="5" t="str">
        <f>IFERROR(__xludf.DUMMYFUNCTION("""COMPUTED_VALUE"""),"China")</f>
        <v>China</v>
      </c>
      <c r="G236" s="5" t="str">
        <f>IFERROR(__xludf.DUMMYFUNCTION("""COMPUTED_VALUE"""),"Corn")</f>
        <v>Corn</v>
      </c>
      <c r="H236" s="6">
        <f>IFERROR(__xludf.DUMMYFUNCTION("""COMPUTED_VALUE"""),66970.0)</f>
        <v>66970</v>
      </c>
      <c r="I236" s="7">
        <f>IFERROR(__xludf.DUMMYFUNCTION("""COMPUTED_VALUE"""),44996.0)</f>
        <v>44996</v>
      </c>
      <c r="J236" s="7">
        <f>IFERROR(__xludf.DUMMYFUNCTION("""COMPUTED_VALUE"""),45005.0)</f>
        <v>45005</v>
      </c>
      <c r="K236" s="5" t="str">
        <f>IFERROR(__xludf.DUMMYFUNCTION("""COMPUTED_VALUE"""),"upper-middle-income")</f>
        <v>upper-middle-income</v>
      </c>
      <c r="L236" s="5" t="str">
        <f>IFERROR(__xludf.DUMMYFUNCTION("""COMPUTED_VALUE"""),"Liberia")</f>
        <v>Liberia</v>
      </c>
      <c r="M236" s="5" t="str">
        <f>IFERROR(__xludf.DUMMYFUNCTION("""COMPUTED_VALUE"""),"East Asia &amp; Pacific")</f>
        <v>East Asia &amp; Pacific</v>
      </c>
      <c r="N236" s="5" t="str">
        <f>IFERROR(__xludf.DUMMYFUNCTION("""COMPUTED_VALUE"""),"Asia-Pacific")</f>
        <v>Asia-Pacific</v>
      </c>
      <c r="O236" s="5" t="str">
        <f>IFERROR(__xludf.DUMMYFUNCTION("""COMPUTED_VALUE"""),"developing")</f>
        <v>developing</v>
      </c>
      <c r="P236" s="5"/>
      <c r="Q236" s="5"/>
    </row>
    <row r="237">
      <c r="A237" s="5" t="str">
        <f>IFERROR(__xludf.DUMMYFUNCTION("""COMPUTED_VALUE"""),"Outbound")</f>
        <v>Outbound</v>
      </c>
      <c r="B237" s="5">
        <f>IFERROR(__xludf.DUMMYFUNCTION("""COMPUTED_VALUE"""),803.0)</f>
        <v>803</v>
      </c>
      <c r="C237" s="5" t="str">
        <f>IFERROR(__xludf.DUMMYFUNCTION("""COMPUTED_VALUE"""),"LADY LAGUNA")</f>
        <v>LADY LAGUNA</v>
      </c>
      <c r="D237" s="5">
        <f>IFERROR(__xludf.DUMMYFUNCTION("""COMPUTED_VALUE"""),9354040.0)</f>
        <v>9354040</v>
      </c>
      <c r="E237" s="5" t="str">
        <f>IFERROR(__xludf.DUMMYFUNCTION("""COMPUTED_VALUE"""),"Chornomorsk")</f>
        <v>Chornomorsk</v>
      </c>
      <c r="F237" s="5" t="str">
        <f>IFERROR(__xludf.DUMMYFUNCTION("""COMPUTED_VALUE"""),"Libya")</f>
        <v>Libya</v>
      </c>
      <c r="G237" s="5" t="str">
        <f>IFERROR(__xludf.DUMMYFUNCTION("""COMPUTED_VALUE"""),"Barley")</f>
        <v>Barley</v>
      </c>
      <c r="H237" s="6">
        <f>IFERROR(__xludf.DUMMYFUNCTION("""COMPUTED_VALUE"""),15500.0)</f>
        <v>15500</v>
      </c>
      <c r="I237" s="7">
        <f>IFERROR(__xludf.DUMMYFUNCTION("""COMPUTED_VALUE"""),44995.0)</f>
        <v>44995</v>
      </c>
      <c r="J237" s="7">
        <f>IFERROR(__xludf.DUMMYFUNCTION("""COMPUTED_VALUE"""),45004.0)</f>
        <v>45004</v>
      </c>
      <c r="K237" s="5" t="str">
        <f>IFERROR(__xludf.DUMMYFUNCTION("""COMPUTED_VALUE"""),"upper-middle-income")</f>
        <v>upper-middle-income</v>
      </c>
      <c r="L237" s="5" t="str">
        <f>IFERROR(__xludf.DUMMYFUNCTION("""COMPUTED_VALUE"""),"Barbados")</f>
        <v>Barbados</v>
      </c>
      <c r="M237" s="5" t="str">
        <f>IFERROR(__xludf.DUMMYFUNCTION("""COMPUTED_VALUE"""),"Middle East &amp; North Africa")</f>
        <v>Middle East &amp; North Africa</v>
      </c>
      <c r="N237" s="5" t="str">
        <f>IFERROR(__xludf.DUMMYFUNCTION("""COMPUTED_VALUE"""),"Africa")</f>
        <v>Africa</v>
      </c>
      <c r="O237" s="5" t="str">
        <f>IFERROR(__xludf.DUMMYFUNCTION("""COMPUTED_VALUE"""),"developing")</f>
        <v>developing</v>
      </c>
      <c r="P237" s="5"/>
      <c r="Q237" s="5"/>
    </row>
    <row r="238">
      <c r="A238" s="5" t="str">
        <f>IFERROR(__xludf.DUMMYFUNCTION("""COMPUTED_VALUE"""),"Outbound")</f>
        <v>Outbound</v>
      </c>
      <c r="B238" s="5">
        <f>IFERROR(__xludf.DUMMYFUNCTION("""COMPUTED_VALUE"""),802.0)</f>
        <v>802</v>
      </c>
      <c r="C238" s="5" t="str">
        <f>IFERROR(__xludf.DUMMYFUNCTION("""COMPUTED_VALUE"""),"LAAX")</f>
        <v>LAAX</v>
      </c>
      <c r="D238" s="5">
        <f>IFERROR(__xludf.DUMMYFUNCTION("""COMPUTED_VALUE"""),9512355.0)</f>
        <v>9512355</v>
      </c>
      <c r="E238" s="5" t="str">
        <f>IFERROR(__xludf.DUMMYFUNCTION("""COMPUTED_VALUE"""),"Odesa")</f>
        <v>Odesa</v>
      </c>
      <c r="F238" s="5" t="str">
        <f>IFERROR(__xludf.DUMMYFUNCTION("""COMPUTED_VALUE"""),"The Netherlands")</f>
        <v>The Netherlands</v>
      </c>
      <c r="G238" s="5" t="str">
        <f>IFERROR(__xludf.DUMMYFUNCTION("""COMPUTED_VALUE"""),"Corn")</f>
        <v>Corn</v>
      </c>
      <c r="H238" s="6">
        <f>IFERROR(__xludf.DUMMYFUNCTION("""COMPUTED_VALUE"""),29800.0)</f>
        <v>29800</v>
      </c>
      <c r="I238" s="7">
        <f>IFERROR(__xludf.DUMMYFUNCTION("""COMPUTED_VALUE"""),44995.0)</f>
        <v>44995</v>
      </c>
      <c r="J238" s="7">
        <f>IFERROR(__xludf.DUMMYFUNCTION("""COMPUTED_VALUE"""),45004.0)</f>
        <v>45004</v>
      </c>
      <c r="K238" s="5" t="str">
        <f>IFERROR(__xludf.DUMMYFUNCTION("""COMPUTED_VALUE"""),"high-income")</f>
        <v>high-income</v>
      </c>
      <c r="L238" s="5" t="str">
        <f>IFERROR(__xludf.DUMMYFUNCTION("""COMPUTED_VALUE"""),"Marshall Islands")</f>
        <v>Marshall Islands</v>
      </c>
      <c r="M238" s="5" t="str">
        <f>IFERROR(__xludf.DUMMYFUNCTION("""COMPUTED_VALUE"""),"Europe &amp; Central Asia")</f>
        <v>Europe &amp; Central Asia</v>
      </c>
      <c r="N238" s="5" t="str">
        <f>IFERROR(__xludf.DUMMYFUNCTION("""COMPUTED_VALUE"""),"Western Europe and Others")</f>
        <v>Western Europe and Others</v>
      </c>
      <c r="O238" s="5" t="str">
        <f>IFERROR(__xludf.DUMMYFUNCTION("""COMPUTED_VALUE"""),"developed")</f>
        <v>developed</v>
      </c>
      <c r="P238" s="5"/>
      <c r="Q238" s="5"/>
    </row>
    <row r="239">
      <c r="A239" s="5" t="str">
        <f>IFERROR(__xludf.DUMMYFUNCTION("""COMPUTED_VALUE"""),"Outbound +")</f>
        <v>Outbound +</v>
      </c>
      <c r="B239" s="5">
        <f>IFERROR(__xludf.DUMMYFUNCTION("""COMPUTED_VALUE"""),802.0)</f>
        <v>802</v>
      </c>
      <c r="C239" s="5" t="str">
        <f>IFERROR(__xludf.DUMMYFUNCTION("""COMPUTED_VALUE"""),"LAAX")</f>
        <v>LAAX</v>
      </c>
      <c r="D239" s="5">
        <f>IFERROR(__xludf.DUMMYFUNCTION("""COMPUTED_VALUE"""),9512355.0)</f>
        <v>9512355</v>
      </c>
      <c r="E239" s="5" t="str">
        <f>IFERROR(__xludf.DUMMYFUNCTION("""COMPUTED_VALUE"""),"Odesa")</f>
        <v>Odesa</v>
      </c>
      <c r="F239" s="5" t="str">
        <f>IFERROR(__xludf.DUMMYFUNCTION("""COMPUTED_VALUE"""),"The Netherlands")</f>
        <v>The Netherlands</v>
      </c>
      <c r="G239" s="5" t="str">
        <f>IFERROR(__xludf.DUMMYFUNCTION("""COMPUTED_VALUE"""),"Rapeseed")</f>
        <v>Rapeseed</v>
      </c>
      <c r="H239" s="6">
        <f>IFERROR(__xludf.DUMMYFUNCTION("""COMPUTED_VALUE"""),6800.0)</f>
        <v>6800</v>
      </c>
      <c r="I239" s="7">
        <f>IFERROR(__xludf.DUMMYFUNCTION("""COMPUTED_VALUE"""),44995.0)</f>
        <v>44995</v>
      </c>
      <c r="J239" s="7">
        <f>IFERROR(__xludf.DUMMYFUNCTION("""COMPUTED_VALUE"""),45004.0)</f>
        <v>45004</v>
      </c>
      <c r="K239" s="5" t="str">
        <f>IFERROR(__xludf.DUMMYFUNCTION("""COMPUTED_VALUE"""),"high-income")</f>
        <v>high-income</v>
      </c>
      <c r="L239" s="5" t="str">
        <f>IFERROR(__xludf.DUMMYFUNCTION("""COMPUTED_VALUE"""),"Marshall Islands")</f>
        <v>Marshall Islands</v>
      </c>
      <c r="M239" s="5" t="str">
        <f>IFERROR(__xludf.DUMMYFUNCTION("""COMPUTED_VALUE"""),"Europe &amp; Central Asia")</f>
        <v>Europe &amp; Central Asia</v>
      </c>
      <c r="N239" s="5" t="str">
        <f>IFERROR(__xludf.DUMMYFUNCTION("""COMPUTED_VALUE"""),"Western Europe and Others")</f>
        <v>Western Europe and Others</v>
      </c>
      <c r="O239" s="5" t="str">
        <f>IFERROR(__xludf.DUMMYFUNCTION("""COMPUTED_VALUE"""),"developed")</f>
        <v>developed</v>
      </c>
      <c r="P239" s="5"/>
      <c r="Q239" s="5"/>
    </row>
    <row r="240">
      <c r="A240" s="5" t="str">
        <f>IFERROR(__xludf.DUMMYFUNCTION("""COMPUTED_VALUE"""),"Outbound +")</f>
        <v>Outbound +</v>
      </c>
      <c r="B240" s="5">
        <f>IFERROR(__xludf.DUMMYFUNCTION("""COMPUTED_VALUE"""),802.0)</f>
        <v>802</v>
      </c>
      <c r="C240" s="5" t="str">
        <f>IFERROR(__xludf.DUMMYFUNCTION("""COMPUTED_VALUE"""),"LAAX")</f>
        <v>LAAX</v>
      </c>
      <c r="D240" s="5">
        <f>IFERROR(__xludf.DUMMYFUNCTION("""COMPUTED_VALUE"""),9512355.0)</f>
        <v>9512355</v>
      </c>
      <c r="E240" s="5" t="str">
        <f>IFERROR(__xludf.DUMMYFUNCTION("""COMPUTED_VALUE"""),"Odesa")</f>
        <v>Odesa</v>
      </c>
      <c r="F240" s="5" t="str">
        <f>IFERROR(__xludf.DUMMYFUNCTION("""COMPUTED_VALUE"""),"The Netherlands")</f>
        <v>The Netherlands</v>
      </c>
      <c r="G240" s="5" t="str">
        <f>IFERROR(__xludf.DUMMYFUNCTION("""COMPUTED_VALUE"""),"Soya beans")</f>
        <v>Soya beans</v>
      </c>
      <c r="H240" s="6">
        <f>IFERROR(__xludf.DUMMYFUNCTION("""COMPUTED_VALUE"""),30400.0)</f>
        <v>30400</v>
      </c>
      <c r="I240" s="7">
        <f>IFERROR(__xludf.DUMMYFUNCTION("""COMPUTED_VALUE"""),44995.0)</f>
        <v>44995</v>
      </c>
      <c r="J240" s="7">
        <f>IFERROR(__xludf.DUMMYFUNCTION("""COMPUTED_VALUE"""),45004.0)</f>
        <v>45004</v>
      </c>
      <c r="K240" s="5" t="str">
        <f>IFERROR(__xludf.DUMMYFUNCTION("""COMPUTED_VALUE"""),"high-income")</f>
        <v>high-income</v>
      </c>
      <c r="L240" s="5" t="str">
        <f>IFERROR(__xludf.DUMMYFUNCTION("""COMPUTED_VALUE"""),"Marshall Islands")</f>
        <v>Marshall Islands</v>
      </c>
      <c r="M240" s="5" t="str">
        <f>IFERROR(__xludf.DUMMYFUNCTION("""COMPUTED_VALUE"""),"Europe &amp; Central Asia")</f>
        <v>Europe &amp; Central Asia</v>
      </c>
      <c r="N240" s="5" t="str">
        <f>IFERROR(__xludf.DUMMYFUNCTION("""COMPUTED_VALUE"""),"Western Europe and Others")</f>
        <v>Western Europe and Others</v>
      </c>
      <c r="O240" s="5" t="str">
        <f>IFERROR(__xludf.DUMMYFUNCTION("""COMPUTED_VALUE"""),"developed")</f>
        <v>developed</v>
      </c>
      <c r="P240" s="5"/>
      <c r="Q240" s="5"/>
    </row>
    <row r="241">
      <c r="A241" s="5" t="str">
        <f>IFERROR(__xludf.DUMMYFUNCTION("""COMPUTED_VALUE"""),"Outbound")</f>
        <v>Outbound</v>
      </c>
      <c r="B241" s="5">
        <f>IFERROR(__xludf.DUMMYFUNCTION("""COMPUTED_VALUE"""),801.0)</f>
        <v>801</v>
      </c>
      <c r="C241" s="5" t="str">
        <f>IFERROR(__xludf.DUMMYFUNCTION("""COMPUTED_VALUE"""),"DAYTONA DYNAMIC")</f>
        <v>DAYTONA DYNAMIC</v>
      </c>
      <c r="D241" s="5">
        <f>IFERROR(__xludf.DUMMYFUNCTION("""COMPUTED_VALUE"""),8914726.0)</f>
        <v>8914726</v>
      </c>
      <c r="E241" s="5" t="str">
        <f>IFERROR(__xludf.DUMMYFUNCTION("""COMPUTED_VALUE"""),"Chornomorsk")</f>
        <v>Chornomorsk</v>
      </c>
      <c r="F241" s="5" t="str">
        <f>IFERROR(__xludf.DUMMYFUNCTION("""COMPUTED_VALUE"""),"United Kingdom")</f>
        <v>United Kingdom</v>
      </c>
      <c r="G241" s="5" t="str">
        <f>IFERROR(__xludf.DUMMYFUNCTION("""COMPUTED_VALUE"""),"Sunflower seed")</f>
        <v>Sunflower seed</v>
      </c>
      <c r="H241" s="6">
        <f>IFERROR(__xludf.DUMMYFUNCTION("""COMPUTED_VALUE"""),15100.0)</f>
        <v>15100</v>
      </c>
      <c r="I241" s="7">
        <f>IFERROR(__xludf.DUMMYFUNCTION("""COMPUTED_VALUE"""),44995.0)</f>
        <v>44995</v>
      </c>
      <c r="J241" s="7">
        <f>IFERROR(__xludf.DUMMYFUNCTION("""COMPUTED_VALUE"""),45005.0)</f>
        <v>45005</v>
      </c>
      <c r="K241" s="5" t="str">
        <f>IFERROR(__xludf.DUMMYFUNCTION("""COMPUTED_VALUE"""),"high-income")</f>
        <v>high-income</v>
      </c>
      <c r="L241" s="5" t="str">
        <f>IFERROR(__xludf.DUMMYFUNCTION("""COMPUTED_VALUE"""),"Comoros")</f>
        <v>Comoros</v>
      </c>
      <c r="M241" s="5" t="str">
        <f>IFERROR(__xludf.DUMMYFUNCTION("""COMPUTED_VALUE"""),"Europe &amp; Central Asia")</f>
        <v>Europe &amp; Central Asia</v>
      </c>
      <c r="N241" s="5" t="str">
        <f>IFERROR(__xludf.DUMMYFUNCTION("""COMPUTED_VALUE"""),"Western Europe and Others")</f>
        <v>Western Europe and Others</v>
      </c>
      <c r="O241" s="5" t="str">
        <f>IFERROR(__xludf.DUMMYFUNCTION("""COMPUTED_VALUE"""),"developed")</f>
        <v>developed</v>
      </c>
      <c r="P241" s="5"/>
      <c r="Q241" s="5"/>
    </row>
    <row r="242">
      <c r="A242" s="5" t="str">
        <f>IFERROR(__xludf.DUMMYFUNCTION("""COMPUTED_VALUE"""),"Outbound")</f>
        <v>Outbound</v>
      </c>
      <c r="B242" s="5">
        <f>IFERROR(__xludf.DUMMYFUNCTION("""COMPUTED_VALUE"""),800.0)</f>
        <v>800</v>
      </c>
      <c r="C242" s="5" t="str">
        <f>IFERROR(__xludf.DUMMYFUNCTION("""COMPUTED_VALUE"""),"LADY MERAL")</f>
        <v>LADY MERAL</v>
      </c>
      <c r="D242" s="5">
        <f>IFERROR(__xludf.DUMMYFUNCTION("""COMPUTED_VALUE"""),9311311.0)</f>
        <v>9311311</v>
      </c>
      <c r="E242" s="5" t="str">
        <f>IFERROR(__xludf.DUMMYFUNCTION("""COMPUTED_VALUE"""),"Odesa")</f>
        <v>Odesa</v>
      </c>
      <c r="F242" s="5" t="str">
        <f>IFERROR(__xludf.DUMMYFUNCTION("""COMPUTED_VALUE"""),"Italy")</f>
        <v>Italy</v>
      </c>
      <c r="G242" s="5" t="str">
        <f>IFERROR(__xludf.DUMMYFUNCTION("""COMPUTED_VALUE"""),"Corn")</f>
        <v>Corn</v>
      </c>
      <c r="H242" s="6">
        <f>IFERROR(__xludf.DUMMYFUNCTION("""COMPUTED_VALUE"""),28200.0)</f>
        <v>28200</v>
      </c>
      <c r="I242" s="7">
        <f>IFERROR(__xludf.DUMMYFUNCTION("""COMPUTED_VALUE"""),44994.0)</f>
        <v>44994</v>
      </c>
      <c r="J242" s="7">
        <f>IFERROR(__xludf.DUMMYFUNCTION("""COMPUTED_VALUE"""),45010.0)</f>
        <v>45010</v>
      </c>
      <c r="K242" s="5" t="str">
        <f>IFERROR(__xludf.DUMMYFUNCTION("""COMPUTED_VALUE"""),"high-income")</f>
        <v>high-income</v>
      </c>
      <c r="L242" s="5" t="str">
        <f>IFERROR(__xludf.DUMMYFUNCTION("""COMPUTED_VALUE"""),"Panama")</f>
        <v>Panama</v>
      </c>
      <c r="M242" s="5" t="str">
        <f>IFERROR(__xludf.DUMMYFUNCTION("""COMPUTED_VALUE"""),"Europe &amp; Central Asia")</f>
        <v>Europe &amp; Central Asia</v>
      </c>
      <c r="N242" s="5" t="str">
        <f>IFERROR(__xludf.DUMMYFUNCTION("""COMPUTED_VALUE"""),"Western Europe and Others")</f>
        <v>Western Europe and Others</v>
      </c>
      <c r="O242" s="5" t="str">
        <f>IFERROR(__xludf.DUMMYFUNCTION("""COMPUTED_VALUE"""),"developed")</f>
        <v>developed</v>
      </c>
      <c r="P242" s="5"/>
      <c r="Q242" s="5"/>
    </row>
    <row r="243">
      <c r="A243" s="5" t="str">
        <f>IFERROR(__xludf.DUMMYFUNCTION("""COMPUTED_VALUE"""),"Outbound")</f>
        <v>Outbound</v>
      </c>
      <c r="B243" s="5">
        <f>IFERROR(__xludf.DUMMYFUNCTION("""COMPUTED_VALUE"""),799.0)</f>
        <v>799</v>
      </c>
      <c r="C243" s="5" t="str">
        <f>IFERROR(__xludf.DUMMYFUNCTION("""COMPUTED_VALUE"""),"CAPTAIN V. MADIAS")</f>
        <v>CAPTAIN V. MADIAS</v>
      </c>
      <c r="D243" s="5">
        <f>IFERROR(__xludf.DUMMYFUNCTION("""COMPUTED_VALUE"""),9617351.0)</f>
        <v>9617351</v>
      </c>
      <c r="E243" s="5" t="str">
        <f>IFERROR(__xludf.DUMMYFUNCTION("""COMPUTED_VALUE"""),"Yuzhny/Pivdennyi")</f>
        <v>Yuzhny/Pivdennyi</v>
      </c>
      <c r="F243" s="5" t="str">
        <f>IFERROR(__xludf.DUMMYFUNCTION("""COMPUTED_VALUE"""),"Portugal")</f>
        <v>Portugal</v>
      </c>
      <c r="G243" s="5" t="str">
        <f>IFERROR(__xludf.DUMMYFUNCTION("""COMPUTED_VALUE"""),"Corn")</f>
        <v>Corn</v>
      </c>
      <c r="H243" s="6">
        <f>IFERROR(__xludf.DUMMYFUNCTION("""COMPUTED_VALUE"""),70530.0)</f>
        <v>70530</v>
      </c>
      <c r="I243" s="7">
        <f>IFERROR(__xludf.DUMMYFUNCTION("""COMPUTED_VALUE"""),44994.0)</f>
        <v>44994</v>
      </c>
      <c r="J243" s="7">
        <f>IFERROR(__xludf.DUMMYFUNCTION("""COMPUTED_VALUE"""),45010.0)</f>
        <v>45010</v>
      </c>
      <c r="K243" s="5" t="str">
        <f>IFERROR(__xludf.DUMMYFUNCTION("""COMPUTED_VALUE"""),"high-income")</f>
        <v>high-income</v>
      </c>
      <c r="L243" s="5" t="str">
        <f>IFERROR(__xludf.DUMMYFUNCTION("""COMPUTED_VALUE"""),"Malta")</f>
        <v>Malta</v>
      </c>
      <c r="M243" s="5" t="str">
        <f>IFERROR(__xludf.DUMMYFUNCTION("""COMPUTED_VALUE"""),"Europe &amp; Central Asia")</f>
        <v>Europe &amp; Central Asia</v>
      </c>
      <c r="N243" s="5" t="str">
        <f>IFERROR(__xludf.DUMMYFUNCTION("""COMPUTED_VALUE"""),"Western Europe and Others")</f>
        <v>Western Europe and Others</v>
      </c>
      <c r="O243" s="5" t="str">
        <f>IFERROR(__xludf.DUMMYFUNCTION("""COMPUTED_VALUE"""),"developed")</f>
        <v>developed</v>
      </c>
      <c r="P243" s="5"/>
      <c r="Q243" s="5"/>
    </row>
    <row r="244">
      <c r="A244" s="5" t="str">
        <f>IFERROR(__xludf.DUMMYFUNCTION("""COMPUTED_VALUE"""),"Outbound")</f>
        <v>Outbound</v>
      </c>
      <c r="B244" s="5">
        <f>IFERROR(__xludf.DUMMYFUNCTION("""COMPUTED_VALUE"""),798.0)</f>
        <v>798</v>
      </c>
      <c r="C244" s="5" t="str">
        <f>IFERROR(__xludf.DUMMYFUNCTION("""COMPUTED_VALUE"""),"BELLA JUDI")</f>
        <v>BELLA JUDI</v>
      </c>
      <c r="D244" s="5">
        <f>IFERROR(__xludf.DUMMYFUNCTION("""COMPUTED_VALUE"""),9595371.0)</f>
        <v>9595371</v>
      </c>
      <c r="E244" s="5" t="str">
        <f>IFERROR(__xludf.DUMMYFUNCTION("""COMPUTED_VALUE"""),"Chornomorsk")</f>
        <v>Chornomorsk</v>
      </c>
      <c r="F244" s="5" t="str">
        <f>IFERROR(__xludf.DUMMYFUNCTION("""COMPUTED_VALUE"""),"Italy")</f>
        <v>Italy</v>
      </c>
      <c r="G244" s="5" t="str">
        <f>IFERROR(__xludf.DUMMYFUNCTION("""COMPUTED_VALUE"""),"Corn")</f>
        <v>Corn</v>
      </c>
      <c r="H244" s="6">
        <f>IFERROR(__xludf.DUMMYFUNCTION("""COMPUTED_VALUE"""),33000.0)</f>
        <v>33000</v>
      </c>
      <c r="I244" s="7">
        <f>IFERROR(__xludf.DUMMYFUNCTION("""COMPUTED_VALUE"""),44994.0)</f>
        <v>44994</v>
      </c>
      <c r="J244" s="7">
        <f>IFERROR(__xludf.DUMMYFUNCTION("""COMPUTED_VALUE"""),45003.0)</f>
        <v>45003</v>
      </c>
      <c r="K244" s="5" t="str">
        <f>IFERROR(__xludf.DUMMYFUNCTION("""COMPUTED_VALUE"""),"high-income")</f>
        <v>high-income</v>
      </c>
      <c r="L244" s="5" t="str">
        <f>IFERROR(__xludf.DUMMYFUNCTION("""COMPUTED_VALUE"""),"St. Vincent")</f>
        <v>St. Vincent</v>
      </c>
      <c r="M244" s="5" t="str">
        <f>IFERROR(__xludf.DUMMYFUNCTION("""COMPUTED_VALUE"""),"Europe &amp; Central Asia")</f>
        <v>Europe &amp; Central Asia</v>
      </c>
      <c r="N244" s="5" t="str">
        <f>IFERROR(__xludf.DUMMYFUNCTION("""COMPUTED_VALUE"""),"Western Europe and Others")</f>
        <v>Western Europe and Others</v>
      </c>
      <c r="O244" s="5" t="str">
        <f>IFERROR(__xludf.DUMMYFUNCTION("""COMPUTED_VALUE"""),"developed")</f>
        <v>developed</v>
      </c>
      <c r="P244" s="5"/>
      <c r="Q244" s="5"/>
    </row>
    <row r="245">
      <c r="A245" s="5" t="str">
        <f>IFERROR(__xludf.DUMMYFUNCTION("""COMPUTED_VALUE"""),"Outbound")</f>
        <v>Outbound</v>
      </c>
      <c r="B245" s="5">
        <f>IFERROR(__xludf.DUMMYFUNCTION("""COMPUTED_VALUE"""),797.0)</f>
        <v>797</v>
      </c>
      <c r="C245" s="5" t="str">
        <f>IFERROR(__xludf.DUMMYFUNCTION("""COMPUTED_VALUE"""),"ANDREA VICTORY")</f>
        <v>ANDREA VICTORY</v>
      </c>
      <c r="D245" s="5">
        <f>IFERROR(__xludf.DUMMYFUNCTION("""COMPUTED_VALUE"""),9288849.0)</f>
        <v>9288849</v>
      </c>
      <c r="E245" s="5" t="str">
        <f>IFERROR(__xludf.DUMMYFUNCTION("""COMPUTED_VALUE"""),"Yuzhny/Pivdennyi")</f>
        <v>Yuzhny/Pivdennyi</v>
      </c>
      <c r="F245" s="5" t="str">
        <f>IFERROR(__xludf.DUMMYFUNCTION("""COMPUTED_VALUE"""),"China")</f>
        <v>China</v>
      </c>
      <c r="G245" s="5" t="str">
        <f>IFERROR(__xludf.DUMMYFUNCTION("""COMPUTED_VALUE"""),"Sunflower oil")</f>
        <v>Sunflower oil</v>
      </c>
      <c r="H245" s="6">
        <f>IFERROR(__xludf.DUMMYFUNCTION("""COMPUTED_VALUE"""),44072.0)</f>
        <v>44072</v>
      </c>
      <c r="I245" s="7">
        <f>IFERROR(__xludf.DUMMYFUNCTION("""COMPUTED_VALUE"""),44994.0)</f>
        <v>44994</v>
      </c>
      <c r="J245" s="7">
        <f>IFERROR(__xludf.DUMMYFUNCTION("""COMPUTED_VALUE"""),45002.0)</f>
        <v>45002</v>
      </c>
      <c r="K245" s="5" t="str">
        <f>IFERROR(__xludf.DUMMYFUNCTION("""COMPUTED_VALUE"""),"upper-middle-income")</f>
        <v>upper-middle-income</v>
      </c>
      <c r="L245" s="5" t="str">
        <f>IFERROR(__xludf.DUMMYFUNCTION("""COMPUTED_VALUE"""),"Norway")</f>
        <v>Norway</v>
      </c>
      <c r="M245" s="5" t="str">
        <f>IFERROR(__xludf.DUMMYFUNCTION("""COMPUTED_VALUE"""),"East Asia &amp; Pacific")</f>
        <v>East Asia &amp; Pacific</v>
      </c>
      <c r="N245" s="5" t="str">
        <f>IFERROR(__xludf.DUMMYFUNCTION("""COMPUTED_VALUE"""),"Asia-Pacific")</f>
        <v>Asia-Pacific</v>
      </c>
      <c r="O245" s="5" t="str">
        <f>IFERROR(__xludf.DUMMYFUNCTION("""COMPUTED_VALUE"""),"developing")</f>
        <v>developing</v>
      </c>
      <c r="P245" s="5"/>
      <c r="Q245" s="5"/>
    </row>
    <row r="246">
      <c r="A246" s="5" t="str">
        <f>IFERROR(__xludf.DUMMYFUNCTION("""COMPUTED_VALUE"""),"Outbound")</f>
        <v>Outbound</v>
      </c>
      <c r="B246" s="5">
        <f>IFERROR(__xludf.DUMMYFUNCTION("""COMPUTED_VALUE"""),796.0)</f>
        <v>796</v>
      </c>
      <c r="C246" s="5" t="str">
        <f>IFERROR(__xludf.DUMMYFUNCTION("""COMPUTED_VALUE"""),"LADY ZEHMA")</f>
        <v>LADY ZEHMA</v>
      </c>
      <c r="D246" s="5">
        <f>IFERROR(__xludf.DUMMYFUNCTION("""COMPUTED_VALUE"""),9303431.0)</f>
        <v>9303431</v>
      </c>
      <c r="E246" s="5" t="str">
        <f>IFERROR(__xludf.DUMMYFUNCTION("""COMPUTED_VALUE"""),"Chornomorsk")</f>
        <v>Chornomorsk</v>
      </c>
      <c r="F246" s="5" t="str">
        <f>IFERROR(__xludf.DUMMYFUNCTION("""COMPUTED_VALUE"""),"Spain")</f>
        <v>Spain</v>
      </c>
      <c r="G246" s="5" t="str">
        <f>IFERROR(__xludf.DUMMYFUNCTION("""COMPUTED_VALUE"""),"Corn")</f>
        <v>Corn</v>
      </c>
      <c r="H246" s="6">
        <f>IFERROR(__xludf.DUMMYFUNCTION("""COMPUTED_VALUE"""),30000.0)</f>
        <v>30000</v>
      </c>
      <c r="I246" s="7">
        <f>IFERROR(__xludf.DUMMYFUNCTION("""COMPUTED_VALUE"""),44993.0)</f>
        <v>44993</v>
      </c>
      <c r="J246" s="7">
        <f>IFERROR(__xludf.DUMMYFUNCTION("""COMPUTED_VALUE"""),45002.0)</f>
        <v>45002</v>
      </c>
      <c r="K246" s="5" t="str">
        <f>IFERROR(__xludf.DUMMYFUNCTION("""COMPUTED_VALUE"""),"high-income")</f>
        <v>high-income</v>
      </c>
      <c r="L246" s="5" t="str">
        <f>IFERROR(__xludf.DUMMYFUNCTION("""COMPUTED_VALUE"""),"Panama")</f>
        <v>Panama</v>
      </c>
      <c r="M246" s="5" t="str">
        <f>IFERROR(__xludf.DUMMYFUNCTION("""COMPUTED_VALUE"""),"Europe &amp; Central Asia")</f>
        <v>Europe &amp; Central Asia</v>
      </c>
      <c r="N246" s="5" t="str">
        <f>IFERROR(__xludf.DUMMYFUNCTION("""COMPUTED_VALUE"""),"Western Europe and Others")</f>
        <v>Western Europe and Others</v>
      </c>
      <c r="O246" s="5" t="str">
        <f>IFERROR(__xludf.DUMMYFUNCTION("""COMPUTED_VALUE"""),"developed")</f>
        <v>developed</v>
      </c>
      <c r="P246" s="5"/>
      <c r="Q246" s="5"/>
    </row>
    <row r="247">
      <c r="A247" s="5" t="str">
        <f>IFERROR(__xludf.DUMMYFUNCTION("""COMPUTED_VALUE"""),"Outbound")</f>
        <v>Outbound</v>
      </c>
      <c r="B247" s="5">
        <f>IFERROR(__xludf.DUMMYFUNCTION("""COMPUTED_VALUE"""),795.0)</f>
        <v>795</v>
      </c>
      <c r="C247" s="5" t="str">
        <f>IFERROR(__xludf.DUMMYFUNCTION("""COMPUTED_VALUE"""),"GAT FEELING")</f>
        <v>GAT FEELING</v>
      </c>
      <c r="D247" s="5">
        <f>IFERROR(__xludf.DUMMYFUNCTION("""COMPUTED_VALUE"""),9467615.0)</f>
        <v>9467615</v>
      </c>
      <c r="E247" s="5" t="str">
        <f>IFERROR(__xludf.DUMMYFUNCTION("""COMPUTED_VALUE"""),"Yuzhny/Pivdennyi")</f>
        <v>Yuzhny/Pivdennyi</v>
      </c>
      <c r="F247" s="5" t="str">
        <f>IFERROR(__xludf.DUMMYFUNCTION("""COMPUTED_VALUE"""),"Spain")</f>
        <v>Spain</v>
      </c>
      <c r="G247" s="5" t="str">
        <f>IFERROR(__xludf.DUMMYFUNCTION("""COMPUTED_VALUE"""),"Wheat")</f>
        <v>Wheat</v>
      </c>
      <c r="H247" s="6">
        <f>IFERROR(__xludf.DUMMYFUNCTION("""COMPUTED_VALUE"""),28300.0)</f>
        <v>28300</v>
      </c>
      <c r="I247" s="7">
        <f>IFERROR(__xludf.DUMMYFUNCTION("""COMPUTED_VALUE"""),44993.0)</f>
        <v>44993</v>
      </c>
      <c r="J247" s="7">
        <f>IFERROR(__xludf.DUMMYFUNCTION("""COMPUTED_VALUE"""),45001.0)</f>
        <v>45001</v>
      </c>
      <c r="K247" s="5" t="str">
        <f>IFERROR(__xludf.DUMMYFUNCTION("""COMPUTED_VALUE"""),"high-income")</f>
        <v>high-income</v>
      </c>
      <c r="L247" s="5" t="str">
        <f>IFERROR(__xludf.DUMMYFUNCTION("""COMPUTED_VALUE"""),"Marshall Islands")</f>
        <v>Marshall Islands</v>
      </c>
      <c r="M247" s="5" t="str">
        <f>IFERROR(__xludf.DUMMYFUNCTION("""COMPUTED_VALUE"""),"Europe &amp; Central Asia")</f>
        <v>Europe &amp; Central Asia</v>
      </c>
      <c r="N247" s="5" t="str">
        <f>IFERROR(__xludf.DUMMYFUNCTION("""COMPUTED_VALUE"""),"Western Europe and Others")</f>
        <v>Western Europe and Others</v>
      </c>
      <c r="O247" s="5" t="str">
        <f>IFERROR(__xludf.DUMMYFUNCTION("""COMPUTED_VALUE"""),"developed")</f>
        <v>developed</v>
      </c>
      <c r="P247" s="5"/>
      <c r="Q247" s="5"/>
    </row>
    <row r="248">
      <c r="A248" s="5" t="str">
        <f>IFERROR(__xludf.DUMMYFUNCTION("""COMPUTED_VALUE"""),"Outbound +")</f>
        <v>Outbound +</v>
      </c>
      <c r="B248" s="5">
        <f>IFERROR(__xludf.DUMMYFUNCTION("""COMPUTED_VALUE"""),795.0)</f>
        <v>795</v>
      </c>
      <c r="C248" s="5" t="str">
        <f>IFERROR(__xludf.DUMMYFUNCTION("""COMPUTED_VALUE"""),"GAT FEELING")</f>
        <v>GAT FEELING</v>
      </c>
      <c r="D248" s="5">
        <f>IFERROR(__xludf.DUMMYFUNCTION("""COMPUTED_VALUE"""),9467615.0)</f>
        <v>9467615</v>
      </c>
      <c r="E248" s="5" t="str">
        <f>IFERROR(__xludf.DUMMYFUNCTION("""COMPUTED_VALUE"""),"Yuzhny/Pivdennyi")</f>
        <v>Yuzhny/Pivdennyi</v>
      </c>
      <c r="F248" s="5" t="str">
        <f>IFERROR(__xludf.DUMMYFUNCTION("""COMPUTED_VALUE"""),"Spain")</f>
        <v>Spain</v>
      </c>
      <c r="G248" s="5" t="str">
        <f>IFERROR(__xludf.DUMMYFUNCTION("""COMPUTED_VALUE"""),"Corn")</f>
        <v>Corn</v>
      </c>
      <c r="H248" s="6">
        <f>IFERROR(__xludf.DUMMYFUNCTION("""COMPUTED_VALUE"""),4400.0)</f>
        <v>4400</v>
      </c>
      <c r="I248" s="7">
        <f>IFERROR(__xludf.DUMMYFUNCTION("""COMPUTED_VALUE"""),44993.0)</f>
        <v>44993</v>
      </c>
      <c r="J248" s="7">
        <f>IFERROR(__xludf.DUMMYFUNCTION("""COMPUTED_VALUE"""),45001.0)</f>
        <v>45001</v>
      </c>
      <c r="K248" s="5" t="str">
        <f>IFERROR(__xludf.DUMMYFUNCTION("""COMPUTED_VALUE"""),"high-income")</f>
        <v>high-income</v>
      </c>
      <c r="L248" s="5" t="str">
        <f>IFERROR(__xludf.DUMMYFUNCTION("""COMPUTED_VALUE"""),"Marshall Islands")</f>
        <v>Marshall Islands</v>
      </c>
      <c r="M248" s="5" t="str">
        <f>IFERROR(__xludf.DUMMYFUNCTION("""COMPUTED_VALUE"""),"Europe &amp; Central Asia")</f>
        <v>Europe &amp; Central Asia</v>
      </c>
      <c r="N248" s="5" t="str">
        <f>IFERROR(__xludf.DUMMYFUNCTION("""COMPUTED_VALUE"""),"Western Europe and Others")</f>
        <v>Western Europe and Others</v>
      </c>
      <c r="O248" s="5" t="str">
        <f>IFERROR(__xludf.DUMMYFUNCTION("""COMPUTED_VALUE"""),"developed")</f>
        <v>developed</v>
      </c>
      <c r="P248" s="5"/>
      <c r="Q248" s="5"/>
    </row>
    <row r="249">
      <c r="A249" s="5" t="str">
        <f>IFERROR(__xludf.DUMMYFUNCTION("""COMPUTED_VALUE"""),"Outbound")</f>
        <v>Outbound</v>
      </c>
      <c r="B249" s="5">
        <f>IFERROR(__xludf.DUMMYFUNCTION("""COMPUTED_VALUE"""),794.0)</f>
        <v>794</v>
      </c>
      <c r="C249" s="5" t="str">
        <f>IFERROR(__xludf.DUMMYFUNCTION("""COMPUTED_VALUE"""),"SANTORINI ISLAND")</f>
        <v>SANTORINI ISLAND</v>
      </c>
      <c r="D249" s="5">
        <f>IFERROR(__xludf.DUMMYFUNCTION("""COMPUTED_VALUE"""),9393618.0)</f>
        <v>9393618</v>
      </c>
      <c r="E249" s="5" t="str">
        <f>IFERROR(__xludf.DUMMYFUNCTION("""COMPUTED_VALUE"""),"Chornomorsk")</f>
        <v>Chornomorsk</v>
      </c>
      <c r="F249" s="5" t="str">
        <f>IFERROR(__xludf.DUMMYFUNCTION("""COMPUTED_VALUE"""),"Spain")</f>
        <v>Spain</v>
      </c>
      <c r="G249" s="5" t="str">
        <f>IFERROR(__xludf.DUMMYFUNCTION("""COMPUTED_VALUE"""),"Wheat")</f>
        <v>Wheat</v>
      </c>
      <c r="H249" s="6">
        <f>IFERROR(__xludf.DUMMYFUNCTION("""COMPUTED_VALUE"""),44000.0)</f>
        <v>44000</v>
      </c>
      <c r="I249" s="7">
        <f>IFERROR(__xludf.DUMMYFUNCTION("""COMPUTED_VALUE"""),44992.0)</f>
        <v>44992</v>
      </c>
      <c r="J249" s="7">
        <f>IFERROR(__xludf.DUMMYFUNCTION("""COMPUTED_VALUE"""),45000.0)</f>
        <v>45000</v>
      </c>
      <c r="K249" s="5" t="str">
        <f>IFERROR(__xludf.DUMMYFUNCTION("""COMPUTED_VALUE"""),"high-income")</f>
        <v>high-income</v>
      </c>
      <c r="L249" s="5" t="str">
        <f>IFERROR(__xludf.DUMMYFUNCTION("""COMPUTED_VALUE"""),"Panama")</f>
        <v>Panama</v>
      </c>
      <c r="M249" s="5" t="str">
        <f>IFERROR(__xludf.DUMMYFUNCTION("""COMPUTED_VALUE"""),"Europe &amp; Central Asia")</f>
        <v>Europe &amp; Central Asia</v>
      </c>
      <c r="N249" s="5" t="str">
        <f>IFERROR(__xludf.DUMMYFUNCTION("""COMPUTED_VALUE"""),"Western Europe and Others")</f>
        <v>Western Europe and Others</v>
      </c>
      <c r="O249" s="5" t="str">
        <f>IFERROR(__xludf.DUMMYFUNCTION("""COMPUTED_VALUE"""),"developed")</f>
        <v>developed</v>
      </c>
      <c r="P249" s="5"/>
      <c r="Q249" s="5"/>
    </row>
    <row r="250">
      <c r="A250" s="5" t="str">
        <f>IFERROR(__xludf.DUMMYFUNCTION("""COMPUTED_VALUE"""),"Outbound")</f>
        <v>Outbound</v>
      </c>
      <c r="B250" s="5">
        <f>IFERROR(__xludf.DUMMYFUNCTION("""COMPUTED_VALUE"""),793.0)</f>
        <v>793</v>
      </c>
      <c r="C250" s="5" t="str">
        <f>IFERROR(__xludf.DUMMYFUNCTION("""COMPUTED_VALUE"""),"KARTERIA")</f>
        <v>KARTERIA</v>
      </c>
      <c r="D250" s="5">
        <f>IFERROR(__xludf.DUMMYFUNCTION("""COMPUTED_VALUE"""),9236092.0)</f>
        <v>9236092</v>
      </c>
      <c r="E250" s="5" t="str">
        <f>IFERROR(__xludf.DUMMYFUNCTION("""COMPUTED_VALUE"""),"Yuzhny/Pivdennyi")</f>
        <v>Yuzhny/Pivdennyi</v>
      </c>
      <c r="F250" s="5" t="str">
        <f>IFERROR(__xludf.DUMMYFUNCTION("""COMPUTED_VALUE"""),"Türkiye")</f>
        <v>Türkiye</v>
      </c>
      <c r="G250" s="5" t="str">
        <f>IFERROR(__xludf.DUMMYFUNCTION("""COMPUTED_VALUE"""),"Soya beans")</f>
        <v>Soya beans</v>
      </c>
      <c r="H250" s="6">
        <f>IFERROR(__xludf.DUMMYFUNCTION("""COMPUTED_VALUE"""),44000.0)</f>
        <v>44000</v>
      </c>
      <c r="I250" s="7">
        <f>IFERROR(__xludf.DUMMYFUNCTION("""COMPUTED_VALUE"""),44992.0)</f>
        <v>44992</v>
      </c>
      <c r="J250" s="7">
        <f>IFERROR(__xludf.DUMMYFUNCTION("""COMPUTED_VALUE"""),45001.0)</f>
        <v>45001</v>
      </c>
      <c r="K250" s="5" t="str">
        <f>IFERROR(__xludf.DUMMYFUNCTION("""COMPUTED_VALUE"""),"upper-middle-income")</f>
        <v>upper-middle-income</v>
      </c>
      <c r="L250" s="5" t="str">
        <f>IFERROR(__xludf.DUMMYFUNCTION("""COMPUTED_VALUE"""),"Malta")</f>
        <v>Malta</v>
      </c>
      <c r="M250" s="5" t="str">
        <f>IFERROR(__xludf.DUMMYFUNCTION("""COMPUTED_VALUE"""),"Europe &amp; Central Asia")</f>
        <v>Europe &amp; Central Asia</v>
      </c>
      <c r="N250" s="5" t="str">
        <f>IFERROR(__xludf.DUMMYFUNCTION("""COMPUTED_VALUE"""),"Asia-Pacific")</f>
        <v>Asia-Pacific</v>
      </c>
      <c r="O250" s="5" t="str">
        <f>IFERROR(__xludf.DUMMYFUNCTION("""COMPUTED_VALUE"""),"developing")</f>
        <v>developing</v>
      </c>
      <c r="P250" s="5"/>
      <c r="Q250" s="5"/>
    </row>
    <row r="251">
      <c r="A251" s="5" t="str">
        <f>IFERROR(__xludf.DUMMYFUNCTION("""COMPUTED_VALUE"""),"Outbound")</f>
        <v>Outbound</v>
      </c>
      <c r="B251" s="5">
        <f>IFERROR(__xludf.DUMMYFUNCTION("""COMPUTED_VALUE"""),792.0)</f>
        <v>792</v>
      </c>
      <c r="C251" s="5" t="str">
        <f>IFERROR(__xludf.DUMMYFUNCTION("""COMPUTED_VALUE"""),"AG VALOR")</f>
        <v>AG VALOR</v>
      </c>
      <c r="D251" s="5">
        <f>IFERROR(__xludf.DUMMYFUNCTION("""COMPUTED_VALUE"""),9312327.0)</f>
        <v>9312327</v>
      </c>
      <c r="E251" s="5" t="str">
        <f>IFERROR(__xludf.DUMMYFUNCTION("""COMPUTED_VALUE"""),"Odesa")</f>
        <v>Odesa</v>
      </c>
      <c r="F251" s="5" t="str">
        <f>IFERROR(__xludf.DUMMYFUNCTION("""COMPUTED_VALUE"""),"Spain")</f>
        <v>Spain</v>
      </c>
      <c r="G251" s="5" t="str">
        <f>IFERROR(__xludf.DUMMYFUNCTION("""COMPUTED_VALUE"""),"Corn")</f>
        <v>Corn</v>
      </c>
      <c r="H251" s="6">
        <f>IFERROR(__xludf.DUMMYFUNCTION("""COMPUTED_VALUE"""),26750.0)</f>
        <v>26750</v>
      </c>
      <c r="I251" s="7">
        <f>IFERROR(__xludf.DUMMYFUNCTION("""COMPUTED_VALUE"""),44992.0)</f>
        <v>44992</v>
      </c>
      <c r="J251" s="7">
        <f>IFERROR(__xludf.DUMMYFUNCTION("""COMPUTED_VALUE"""),45002.0)</f>
        <v>45002</v>
      </c>
      <c r="K251" s="5" t="str">
        <f>IFERROR(__xludf.DUMMYFUNCTION("""COMPUTED_VALUE"""),"high-income")</f>
        <v>high-income</v>
      </c>
      <c r="L251" s="5" t="str">
        <f>IFERROR(__xludf.DUMMYFUNCTION("""COMPUTED_VALUE"""),"Panama")</f>
        <v>Panama</v>
      </c>
      <c r="M251" s="5" t="str">
        <f>IFERROR(__xludf.DUMMYFUNCTION("""COMPUTED_VALUE"""),"Europe &amp; Central Asia")</f>
        <v>Europe &amp; Central Asia</v>
      </c>
      <c r="N251" s="5" t="str">
        <f>IFERROR(__xludf.DUMMYFUNCTION("""COMPUTED_VALUE"""),"Western Europe and Others")</f>
        <v>Western Europe and Others</v>
      </c>
      <c r="O251" s="5" t="str">
        <f>IFERROR(__xludf.DUMMYFUNCTION("""COMPUTED_VALUE"""),"developed")</f>
        <v>developed</v>
      </c>
      <c r="P251" s="5"/>
      <c r="Q251" s="5"/>
    </row>
    <row r="252">
      <c r="A252" s="5" t="str">
        <f>IFERROR(__xludf.DUMMYFUNCTION("""COMPUTED_VALUE"""),"Outbound")</f>
        <v>Outbound</v>
      </c>
      <c r="B252" s="5">
        <f>IFERROR(__xludf.DUMMYFUNCTION("""COMPUTED_VALUE"""),791.0)</f>
        <v>791</v>
      </c>
      <c r="C252" s="5" t="str">
        <f>IFERROR(__xludf.DUMMYFUNCTION("""COMPUTED_VALUE"""),"WINNER")</f>
        <v>WINNER</v>
      </c>
      <c r="D252" s="5">
        <f>IFERROR(__xludf.DUMMYFUNCTION("""COMPUTED_VALUE"""),9305087.0)</f>
        <v>9305087</v>
      </c>
      <c r="E252" s="5" t="str">
        <f>IFERROR(__xludf.DUMMYFUNCTION("""COMPUTED_VALUE"""),"Odesa")</f>
        <v>Odesa</v>
      </c>
      <c r="F252" s="5" t="str">
        <f>IFERROR(__xludf.DUMMYFUNCTION("""COMPUTED_VALUE"""),"Saudi Arabia")</f>
        <v>Saudi Arabia</v>
      </c>
      <c r="G252" s="5" t="str">
        <f>IFERROR(__xludf.DUMMYFUNCTION("""COMPUTED_VALUE"""),"Wheat")</f>
        <v>Wheat</v>
      </c>
      <c r="H252" s="6">
        <f>IFERROR(__xludf.DUMMYFUNCTION("""COMPUTED_VALUE"""),62209.0)</f>
        <v>62209</v>
      </c>
      <c r="I252" s="7">
        <f>IFERROR(__xludf.DUMMYFUNCTION("""COMPUTED_VALUE"""),44991.0)</f>
        <v>44991</v>
      </c>
      <c r="J252" s="7">
        <f>IFERROR(__xludf.DUMMYFUNCTION("""COMPUTED_VALUE"""),44994.0)</f>
        <v>44994</v>
      </c>
      <c r="K252" s="5" t="str">
        <f>IFERROR(__xludf.DUMMYFUNCTION("""COMPUTED_VALUE"""),"high-income")</f>
        <v>high-income</v>
      </c>
      <c r="L252" s="5" t="str">
        <f>IFERROR(__xludf.DUMMYFUNCTION("""COMPUTED_VALUE"""),"Marshall Islands")</f>
        <v>Marshall Islands</v>
      </c>
      <c r="M252" s="5" t="str">
        <f>IFERROR(__xludf.DUMMYFUNCTION("""COMPUTED_VALUE"""),"Middle East &amp; North Africa")</f>
        <v>Middle East &amp; North Africa</v>
      </c>
      <c r="N252" s="5" t="str">
        <f>IFERROR(__xludf.DUMMYFUNCTION("""COMPUTED_VALUE"""),"Asia-Pacific")</f>
        <v>Asia-Pacific</v>
      </c>
      <c r="O252" s="5" t="str">
        <f>IFERROR(__xludf.DUMMYFUNCTION("""COMPUTED_VALUE"""),"developing")</f>
        <v>developing</v>
      </c>
      <c r="P252" s="5"/>
      <c r="Q252" s="5"/>
    </row>
    <row r="253">
      <c r="A253" s="5" t="str">
        <f>IFERROR(__xludf.DUMMYFUNCTION("""COMPUTED_VALUE"""),"Outbound")</f>
        <v>Outbound</v>
      </c>
      <c r="B253" s="5">
        <f>IFERROR(__xludf.DUMMYFUNCTION("""COMPUTED_VALUE"""),790.0)</f>
        <v>790</v>
      </c>
      <c r="C253" s="5" t="str">
        <f>IFERROR(__xludf.DUMMYFUNCTION("""COMPUTED_VALUE"""),"PANJALI TEYMUROV")</f>
        <v>PANJALI TEYMUROV</v>
      </c>
      <c r="D253" s="5">
        <f>IFERROR(__xludf.DUMMYFUNCTION("""COMPUTED_VALUE"""),9575333.0)</f>
        <v>9575333</v>
      </c>
      <c r="E253" s="5" t="str">
        <f>IFERROR(__xludf.DUMMYFUNCTION("""COMPUTED_VALUE"""),"Yuzhny/Pivdennyi")</f>
        <v>Yuzhny/Pivdennyi</v>
      </c>
      <c r="F253" s="5" t="str">
        <f>IFERROR(__xludf.DUMMYFUNCTION("""COMPUTED_VALUE"""),"Türkiye")</f>
        <v>Türkiye</v>
      </c>
      <c r="G253" s="5" t="str">
        <f>IFERROR(__xludf.DUMMYFUNCTION("""COMPUTED_VALUE"""),"Sunflower oil")</f>
        <v>Sunflower oil</v>
      </c>
      <c r="H253" s="6">
        <f>IFERROR(__xludf.DUMMYFUNCTION("""COMPUTED_VALUE"""),6300.0)</f>
        <v>6300</v>
      </c>
      <c r="I253" s="7">
        <f>IFERROR(__xludf.DUMMYFUNCTION("""COMPUTED_VALUE"""),44991.0)</f>
        <v>44991</v>
      </c>
      <c r="J253" s="7">
        <f>IFERROR(__xludf.DUMMYFUNCTION("""COMPUTED_VALUE"""),45000.0)</f>
        <v>45000</v>
      </c>
      <c r="K253" s="5" t="str">
        <f>IFERROR(__xludf.DUMMYFUNCTION("""COMPUTED_VALUE"""),"upper-middle-income")</f>
        <v>upper-middle-income</v>
      </c>
      <c r="L253" s="5" t="str">
        <f>IFERROR(__xludf.DUMMYFUNCTION("""COMPUTED_VALUE"""),"Liberia")</f>
        <v>Liberia</v>
      </c>
      <c r="M253" s="5" t="str">
        <f>IFERROR(__xludf.DUMMYFUNCTION("""COMPUTED_VALUE"""),"Europe &amp; Central Asia")</f>
        <v>Europe &amp; Central Asia</v>
      </c>
      <c r="N253" s="5" t="str">
        <f>IFERROR(__xludf.DUMMYFUNCTION("""COMPUTED_VALUE"""),"Asia-Pacific")</f>
        <v>Asia-Pacific</v>
      </c>
      <c r="O253" s="5" t="str">
        <f>IFERROR(__xludf.DUMMYFUNCTION("""COMPUTED_VALUE"""),"developing")</f>
        <v>developing</v>
      </c>
      <c r="P253" s="5"/>
      <c r="Q253" s="5"/>
    </row>
    <row r="254">
      <c r="A254" s="5" t="str">
        <f>IFERROR(__xludf.DUMMYFUNCTION("""COMPUTED_VALUE"""),"Outbound")</f>
        <v>Outbound</v>
      </c>
      <c r="B254" s="5">
        <f>IFERROR(__xludf.DUMMYFUNCTION("""COMPUTED_VALUE"""),789.0)</f>
        <v>789</v>
      </c>
      <c r="C254" s="5" t="str">
        <f>IFERROR(__xludf.DUMMYFUNCTION("""COMPUTED_VALUE"""),"PANGEO")</f>
        <v>PANGEO</v>
      </c>
      <c r="D254" s="5">
        <f>IFERROR(__xludf.DUMMYFUNCTION("""COMPUTED_VALUE"""),9467873.0)</f>
        <v>9467873</v>
      </c>
      <c r="E254" s="5" t="str">
        <f>IFERROR(__xludf.DUMMYFUNCTION("""COMPUTED_VALUE"""),"Yuzhny/Pivdennyi")</f>
        <v>Yuzhny/Pivdennyi</v>
      </c>
      <c r="F254" s="5" t="str">
        <f>IFERROR(__xludf.DUMMYFUNCTION("""COMPUTED_VALUE"""),"Yemen")</f>
        <v>Yemen</v>
      </c>
      <c r="G254" s="5" t="str">
        <f>IFERROR(__xludf.DUMMYFUNCTION("""COMPUTED_VALUE"""),"Wheat")</f>
        <v>Wheat</v>
      </c>
      <c r="H254" s="6">
        <f>IFERROR(__xludf.DUMMYFUNCTION("""COMPUTED_VALUE"""),53300.0)</f>
        <v>53300</v>
      </c>
      <c r="I254" s="7">
        <f>IFERROR(__xludf.DUMMYFUNCTION("""COMPUTED_VALUE"""),44990.0)</f>
        <v>44990</v>
      </c>
      <c r="J254" s="7">
        <f>IFERROR(__xludf.DUMMYFUNCTION("""COMPUTED_VALUE"""),44998.0)</f>
        <v>44998</v>
      </c>
      <c r="K254" s="5" t="str">
        <f>IFERROR(__xludf.DUMMYFUNCTION("""COMPUTED_VALUE"""),"low-income")</f>
        <v>low-income</v>
      </c>
      <c r="L254" s="5" t="str">
        <f>IFERROR(__xludf.DUMMYFUNCTION("""COMPUTED_VALUE"""),"Liberia")</f>
        <v>Liberia</v>
      </c>
      <c r="M254" s="5" t="str">
        <f>IFERROR(__xludf.DUMMYFUNCTION("""COMPUTED_VALUE"""),"Middle East &amp; North Africa")</f>
        <v>Middle East &amp; North Africa</v>
      </c>
      <c r="N254" s="5" t="str">
        <f>IFERROR(__xludf.DUMMYFUNCTION("""COMPUTED_VALUE"""),"Asia-Pacific")</f>
        <v>Asia-Pacific</v>
      </c>
      <c r="O254" s="5" t="str">
        <f>IFERROR(__xludf.DUMMYFUNCTION("""COMPUTED_VALUE"""),"developing")</f>
        <v>developing</v>
      </c>
      <c r="P254" s="5"/>
      <c r="Q254" s="5"/>
    </row>
    <row r="255">
      <c r="A255" s="5" t="str">
        <f>IFERROR(__xludf.DUMMYFUNCTION("""COMPUTED_VALUE"""),"Outbound")</f>
        <v>Outbound</v>
      </c>
      <c r="B255" s="5">
        <f>IFERROR(__xludf.DUMMYFUNCTION("""COMPUTED_VALUE"""),788.0)</f>
        <v>788</v>
      </c>
      <c r="C255" s="5" t="str">
        <f>IFERROR(__xludf.DUMMYFUNCTION("""COMPUTED_VALUE"""),"IDC DIAMOND")</f>
        <v>IDC DIAMOND</v>
      </c>
      <c r="D255" s="5">
        <f>IFERROR(__xludf.DUMMYFUNCTION("""COMPUTED_VALUE"""),9364825.0)</f>
        <v>9364825</v>
      </c>
      <c r="E255" s="5" t="str">
        <f>IFERROR(__xludf.DUMMYFUNCTION("""COMPUTED_VALUE"""),"Odesa")</f>
        <v>Odesa</v>
      </c>
      <c r="F255" s="5" t="str">
        <f>IFERROR(__xludf.DUMMYFUNCTION("""COMPUTED_VALUE"""),"Bangladesh")</f>
        <v>Bangladesh</v>
      </c>
      <c r="G255" s="5" t="str">
        <f>IFERROR(__xludf.DUMMYFUNCTION("""COMPUTED_VALUE"""),"Wheat")</f>
        <v>Wheat</v>
      </c>
      <c r="H255" s="6">
        <f>IFERROR(__xludf.DUMMYFUNCTION("""COMPUTED_VALUE"""),49500.0)</f>
        <v>49500</v>
      </c>
      <c r="I255" s="7">
        <f>IFERROR(__xludf.DUMMYFUNCTION("""COMPUTED_VALUE"""),44990.0)</f>
        <v>44990</v>
      </c>
      <c r="J255" s="7">
        <f>IFERROR(__xludf.DUMMYFUNCTION("""COMPUTED_VALUE"""),44998.0)</f>
        <v>44998</v>
      </c>
      <c r="K255" s="5" t="str">
        <f>IFERROR(__xludf.DUMMYFUNCTION("""COMPUTED_VALUE"""),"lower-middle income")</f>
        <v>lower-middle income</v>
      </c>
      <c r="L255" s="5" t="str">
        <f>IFERROR(__xludf.DUMMYFUNCTION("""COMPUTED_VALUE"""),"Türkiye")</f>
        <v>Türkiye</v>
      </c>
      <c r="M255" s="5" t="str">
        <f>IFERROR(__xludf.DUMMYFUNCTION("""COMPUTED_VALUE"""),"South Asia")</f>
        <v>South Asia</v>
      </c>
      <c r="N255" s="5" t="str">
        <f>IFERROR(__xludf.DUMMYFUNCTION("""COMPUTED_VALUE"""),"Asia-Pacific")</f>
        <v>Asia-Pacific</v>
      </c>
      <c r="O255" s="5" t="str">
        <f>IFERROR(__xludf.DUMMYFUNCTION("""COMPUTED_VALUE"""),"developing")</f>
        <v>developing</v>
      </c>
      <c r="P255" s="5"/>
      <c r="Q255" s="5"/>
    </row>
    <row r="256">
      <c r="A256" s="5" t="str">
        <f>IFERROR(__xludf.DUMMYFUNCTION("""COMPUTED_VALUE"""),"Outbound")</f>
        <v>Outbound</v>
      </c>
      <c r="B256" s="5">
        <f>IFERROR(__xludf.DUMMYFUNCTION("""COMPUTED_VALUE"""),787.0)</f>
        <v>787</v>
      </c>
      <c r="C256" s="5" t="str">
        <f>IFERROR(__xludf.DUMMYFUNCTION("""COMPUTED_VALUE"""),"GRAECIA UNIVERSALIS")</f>
        <v>GRAECIA UNIVERSALIS</v>
      </c>
      <c r="D256" s="5">
        <f>IFERROR(__xludf.DUMMYFUNCTION("""COMPUTED_VALUE"""),9295127.0)</f>
        <v>9295127</v>
      </c>
      <c r="E256" s="5" t="str">
        <f>IFERROR(__xludf.DUMMYFUNCTION("""COMPUTED_VALUE"""),"Yuzhny/Pivdennyi")</f>
        <v>Yuzhny/Pivdennyi</v>
      </c>
      <c r="F256" s="5" t="str">
        <f>IFERROR(__xludf.DUMMYFUNCTION("""COMPUTED_VALUE"""),"China")</f>
        <v>China</v>
      </c>
      <c r="G256" s="5" t="str">
        <f>IFERROR(__xludf.DUMMYFUNCTION("""COMPUTED_VALUE"""),"Corn")</f>
        <v>Corn</v>
      </c>
      <c r="H256" s="6">
        <f>IFERROR(__xludf.DUMMYFUNCTION("""COMPUTED_VALUE"""),64885.0)</f>
        <v>64885</v>
      </c>
      <c r="I256" s="7">
        <f>IFERROR(__xludf.DUMMYFUNCTION("""COMPUTED_VALUE"""),44990.0)</f>
        <v>44990</v>
      </c>
      <c r="J256" s="7">
        <f>IFERROR(__xludf.DUMMYFUNCTION("""COMPUTED_VALUE"""),45000.0)</f>
        <v>45000</v>
      </c>
      <c r="K256" s="5" t="str">
        <f>IFERROR(__xludf.DUMMYFUNCTION("""COMPUTED_VALUE"""),"upper-middle-income")</f>
        <v>upper-middle-income</v>
      </c>
      <c r="L256" s="5" t="str">
        <f>IFERROR(__xludf.DUMMYFUNCTION("""COMPUTED_VALUE"""),"Liberia")</f>
        <v>Liberia</v>
      </c>
      <c r="M256" s="5" t="str">
        <f>IFERROR(__xludf.DUMMYFUNCTION("""COMPUTED_VALUE"""),"East Asia &amp; Pacific")</f>
        <v>East Asia &amp; Pacific</v>
      </c>
      <c r="N256" s="5" t="str">
        <f>IFERROR(__xludf.DUMMYFUNCTION("""COMPUTED_VALUE"""),"Asia-Pacific")</f>
        <v>Asia-Pacific</v>
      </c>
      <c r="O256" s="5" t="str">
        <f>IFERROR(__xludf.DUMMYFUNCTION("""COMPUTED_VALUE"""),"developing")</f>
        <v>developing</v>
      </c>
      <c r="P256" s="5"/>
      <c r="Q256" s="5"/>
    </row>
    <row r="257">
      <c r="A257" s="5" t="str">
        <f>IFERROR(__xludf.DUMMYFUNCTION("""COMPUTED_VALUE"""),"Outbound")</f>
        <v>Outbound</v>
      </c>
      <c r="B257" s="5">
        <f>IFERROR(__xludf.DUMMYFUNCTION("""COMPUTED_VALUE"""),786.0)</f>
        <v>786</v>
      </c>
      <c r="C257" s="5" t="str">
        <f>IFERROR(__xludf.DUMMYFUNCTION("""COMPUTED_VALUE"""),"CHOLA MELODY")</f>
        <v>CHOLA MELODY</v>
      </c>
      <c r="D257" s="5">
        <f>IFERROR(__xludf.DUMMYFUNCTION("""COMPUTED_VALUE"""),9238296.0)</f>
        <v>9238296</v>
      </c>
      <c r="E257" s="5" t="str">
        <f>IFERROR(__xludf.DUMMYFUNCTION("""COMPUTED_VALUE"""),"Odesa")</f>
        <v>Odesa</v>
      </c>
      <c r="F257" s="5" t="str">
        <f>IFERROR(__xludf.DUMMYFUNCTION("""COMPUTED_VALUE"""),"China")</f>
        <v>China</v>
      </c>
      <c r="G257" s="5" t="str">
        <f>IFERROR(__xludf.DUMMYFUNCTION("""COMPUTED_VALUE"""),"Corn")</f>
        <v>Corn</v>
      </c>
      <c r="H257" s="6">
        <f>IFERROR(__xludf.DUMMYFUNCTION("""COMPUTED_VALUE"""),64980.0)</f>
        <v>64980</v>
      </c>
      <c r="I257" s="7">
        <f>IFERROR(__xludf.DUMMYFUNCTION("""COMPUTED_VALUE"""),44990.0)</f>
        <v>44990</v>
      </c>
      <c r="J257" s="7">
        <f>IFERROR(__xludf.DUMMYFUNCTION("""COMPUTED_VALUE"""),44999.0)</f>
        <v>44999</v>
      </c>
      <c r="K257" s="5" t="str">
        <f>IFERROR(__xludf.DUMMYFUNCTION("""COMPUTED_VALUE"""),"upper-middle-income")</f>
        <v>upper-middle-income</v>
      </c>
      <c r="L257" s="5" t="str">
        <f>IFERROR(__xludf.DUMMYFUNCTION("""COMPUTED_VALUE"""),"Singapore")</f>
        <v>Singapore</v>
      </c>
      <c r="M257" s="5" t="str">
        <f>IFERROR(__xludf.DUMMYFUNCTION("""COMPUTED_VALUE"""),"East Asia &amp; Pacific")</f>
        <v>East Asia &amp; Pacific</v>
      </c>
      <c r="N257" s="5" t="str">
        <f>IFERROR(__xludf.DUMMYFUNCTION("""COMPUTED_VALUE"""),"Asia-Pacific")</f>
        <v>Asia-Pacific</v>
      </c>
      <c r="O257" s="5" t="str">
        <f>IFERROR(__xludf.DUMMYFUNCTION("""COMPUTED_VALUE"""),"developing")</f>
        <v>developing</v>
      </c>
      <c r="P257" s="5"/>
      <c r="Q257" s="5"/>
    </row>
    <row r="258">
      <c r="A258" s="5" t="str">
        <f>IFERROR(__xludf.DUMMYFUNCTION("""COMPUTED_VALUE"""),"Outbound")</f>
        <v>Outbound</v>
      </c>
      <c r="B258" s="5">
        <f>IFERROR(__xludf.DUMMYFUNCTION("""COMPUTED_VALUE"""),785.0)</f>
        <v>785</v>
      </c>
      <c r="C258" s="5" t="str">
        <f>IFERROR(__xludf.DUMMYFUNCTION("""COMPUTED_VALUE"""),"BRAVE LEADER")</f>
        <v>BRAVE LEADER</v>
      </c>
      <c r="D258" s="5">
        <f>IFERROR(__xludf.DUMMYFUNCTION("""COMPUTED_VALUE"""),9033505.0)</f>
        <v>9033505</v>
      </c>
      <c r="E258" s="5" t="str">
        <f>IFERROR(__xludf.DUMMYFUNCTION("""COMPUTED_VALUE"""),"Chornomorsk")</f>
        <v>Chornomorsk</v>
      </c>
      <c r="F258" s="5" t="str">
        <f>IFERROR(__xludf.DUMMYFUNCTION("""COMPUTED_VALUE"""),"Türkiye")</f>
        <v>Türkiye</v>
      </c>
      <c r="G258" s="5" t="str">
        <f>IFERROR(__xludf.DUMMYFUNCTION("""COMPUTED_VALUE"""),"Soya beans")</f>
        <v>Soya beans</v>
      </c>
      <c r="H258" s="6">
        <f>IFERROR(__xludf.DUMMYFUNCTION("""COMPUTED_VALUE"""),20500.0)</f>
        <v>20500</v>
      </c>
      <c r="I258" s="7">
        <f>IFERROR(__xludf.DUMMYFUNCTION("""COMPUTED_VALUE"""),44990.0)</f>
        <v>44990</v>
      </c>
      <c r="J258" s="7">
        <f>IFERROR(__xludf.DUMMYFUNCTION("""COMPUTED_VALUE"""),44999.0)</f>
        <v>44999</v>
      </c>
      <c r="K258" s="5" t="str">
        <f>IFERROR(__xludf.DUMMYFUNCTION("""COMPUTED_VALUE"""),"upper-middle-income")</f>
        <v>upper-middle-income</v>
      </c>
      <c r="L258" s="5" t="str">
        <f>IFERROR(__xludf.DUMMYFUNCTION("""COMPUTED_VALUE"""),"Lebanon")</f>
        <v>Lebanon</v>
      </c>
      <c r="M258" s="5" t="str">
        <f>IFERROR(__xludf.DUMMYFUNCTION("""COMPUTED_VALUE"""),"Europe &amp; Central Asia")</f>
        <v>Europe &amp; Central Asia</v>
      </c>
      <c r="N258" s="5" t="str">
        <f>IFERROR(__xludf.DUMMYFUNCTION("""COMPUTED_VALUE"""),"Asia-Pacific")</f>
        <v>Asia-Pacific</v>
      </c>
      <c r="O258" s="5" t="str">
        <f>IFERROR(__xludf.DUMMYFUNCTION("""COMPUTED_VALUE"""),"developing")</f>
        <v>developing</v>
      </c>
      <c r="P258" s="5"/>
      <c r="Q258" s="5"/>
    </row>
    <row r="259">
      <c r="A259" s="5" t="str">
        <f>IFERROR(__xludf.DUMMYFUNCTION("""COMPUTED_VALUE"""),"Outbound")</f>
        <v>Outbound</v>
      </c>
      <c r="B259" s="5">
        <f>IFERROR(__xludf.DUMMYFUNCTION("""COMPUTED_VALUE"""),784.0)</f>
        <v>784</v>
      </c>
      <c r="C259" s="5" t="str">
        <f>IFERROR(__xludf.DUMMYFUNCTION("""COMPUTED_VALUE"""),"PROFESSOR WENGER")</f>
        <v>PROFESSOR WENGER</v>
      </c>
      <c r="D259" s="5">
        <f>IFERROR(__xludf.DUMMYFUNCTION("""COMPUTED_VALUE"""),9235969.0)</f>
        <v>9235969</v>
      </c>
      <c r="E259" s="5" t="str">
        <f>IFERROR(__xludf.DUMMYFUNCTION("""COMPUTED_VALUE"""),"Odesa")</f>
        <v>Odesa</v>
      </c>
      <c r="F259" s="5" t="str">
        <f>IFERROR(__xludf.DUMMYFUNCTION("""COMPUTED_VALUE"""),"Libya")</f>
        <v>Libya</v>
      </c>
      <c r="G259" s="5" t="str">
        <f>IFERROR(__xludf.DUMMYFUNCTION("""COMPUTED_VALUE"""),"Corn")</f>
        <v>Corn</v>
      </c>
      <c r="H259" s="6">
        <f>IFERROR(__xludf.DUMMYFUNCTION("""COMPUTED_VALUE"""),25000.0)</f>
        <v>25000</v>
      </c>
      <c r="I259" s="7">
        <f>IFERROR(__xludf.DUMMYFUNCTION("""COMPUTED_VALUE"""),44989.0)</f>
        <v>44989</v>
      </c>
      <c r="J259" s="7">
        <f>IFERROR(__xludf.DUMMYFUNCTION("""COMPUTED_VALUE"""),45001.0)</f>
        <v>45001</v>
      </c>
      <c r="K259" s="5" t="str">
        <f>IFERROR(__xludf.DUMMYFUNCTION("""COMPUTED_VALUE"""),"upper-middle-income")</f>
        <v>upper-middle-income</v>
      </c>
      <c r="L259" s="5" t="str">
        <f>IFERROR(__xludf.DUMMYFUNCTION("""COMPUTED_VALUE"""),"Niue")</f>
        <v>Niue</v>
      </c>
      <c r="M259" s="5" t="str">
        <f>IFERROR(__xludf.DUMMYFUNCTION("""COMPUTED_VALUE"""),"Middle East &amp; North Africa")</f>
        <v>Middle East &amp; North Africa</v>
      </c>
      <c r="N259" s="5" t="str">
        <f>IFERROR(__xludf.DUMMYFUNCTION("""COMPUTED_VALUE"""),"Africa")</f>
        <v>Africa</v>
      </c>
      <c r="O259" s="5" t="str">
        <f>IFERROR(__xludf.DUMMYFUNCTION("""COMPUTED_VALUE"""),"developing")</f>
        <v>developing</v>
      </c>
      <c r="P259" s="5"/>
      <c r="Q259" s="5"/>
    </row>
    <row r="260">
      <c r="A260" s="5" t="str">
        <f>IFERROR(__xludf.DUMMYFUNCTION("""COMPUTED_VALUE"""),"Outbound")</f>
        <v>Outbound</v>
      </c>
      <c r="B260" s="5">
        <f>IFERROR(__xludf.DUMMYFUNCTION("""COMPUTED_VALUE"""),783.0)</f>
        <v>783</v>
      </c>
      <c r="C260" s="5" t="str">
        <f>IFERROR(__xludf.DUMMYFUNCTION("""COMPUTED_VALUE"""),"MAHA ROOS")</f>
        <v>MAHA ROOS</v>
      </c>
      <c r="D260" s="5">
        <f>IFERROR(__xludf.DUMMYFUNCTION("""COMPUTED_VALUE"""),9231004.0)</f>
        <v>9231004</v>
      </c>
      <c r="E260" s="5" t="str">
        <f>IFERROR(__xludf.DUMMYFUNCTION("""COMPUTED_VALUE"""),"Yuzhny/Pivdennyi")</f>
        <v>Yuzhny/Pivdennyi</v>
      </c>
      <c r="F260" s="5" t="str">
        <f>IFERROR(__xludf.DUMMYFUNCTION("""COMPUTED_VALUE"""),"China")</f>
        <v>China</v>
      </c>
      <c r="G260" s="5" t="str">
        <f>IFERROR(__xludf.DUMMYFUNCTION("""COMPUTED_VALUE"""),"Corn")</f>
        <v>Corn</v>
      </c>
      <c r="H260" s="6">
        <f>IFERROR(__xludf.DUMMYFUNCTION("""COMPUTED_VALUE"""),45080.0)</f>
        <v>45080</v>
      </c>
      <c r="I260" s="7">
        <f>IFERROR(__xludf.DUMMYFUNCTION("""COMPUTED_VALUE"""),44989.0)</f>
        <v>44989</v>
      </c>
      <c r="J260" s="7">
        <f>IFERROR(__xludf.DUMMYFUNCTION("""COMPUTED_VALUE"""),44996.0)</f>
        <v>44996</v>
      </c>
      <c r="K260" s="5" t="str">
        <f>IFERROR(__xludf.DUMMYFUNCTION("""COMPUTED_VALUE"""),"upper-middle-income")</f>
        <v>upper-middle-income</v>
      </c>
      <c r="L260" s="5" t="str">
        <f>IFERROR(__xludf.DUMMYFUNCTION("""COMPUTED_VALUE"""),"India")</f>
        <v>India</v>
      </c>
      <c r="M260" s="5" t="str">
        <f>IFERROR(__xludf.DUMMYFUNCTION("""COMPUTED_VALUE"""),"East Asia &amp; Pacific")</f>
        <v>East Asia &amp; Pacific</v>
      </c>
      <c r="N260" s="5" t="str">
        <f>IFERROR(__xludf.DUMMYFUNCTION("""COMPUTED_VALUE"""),"Asia-Pacific")</f>
        <v>Asia-Pacific</v>
      </c>
      <c r="O260" s="5" t="str">
        <f>IFERROR(__xludf.DUMMYFUNCTION("""COMPUTED_VALUE"""),"developing")</f>
        <v>developing</v>
      </c>
      <c r="P260" s="5"/>
      <c r="Q260" s="5"/>
    </row>
    <row r="261">
      <c r="A261" s="5" t="str">
        <f>IFERROR(__xludf.DUMMYFUNCTION("""COMPUTED_VALUE"""),"Outbound +")</f>
        <v>Outbound +</v>
      </c>
      <c r="B261" s="5">
        <f>IFERROR(__xludf.DUMMYFUNCTION("""COMPUTED_VALUE"""),783.0)</f>
        <v>783</v>
      </c>
      <c r="C261" s="5" t="str">
        <f>IFERROR(__xludf.DUMMYFUNCTION("""COMPUTED_VALUE"""),"MAHA ROOS")</f>
        <v>MAHA ROOS</v>
      </c>
      <c r="D261" s="5">
        <f>IFERROR(__xludf.DUMMYFUNCTION("""COMPUTED_VALUE"""),9231004.0)</f>
        <v>9231004</v>
      </c>
      <c r="E261" s="5" t="str">
        <f>IFERROR(__xludf.DUMMYFUNCTION("""COMPUTED_VALUE"""),"Yuzhny/Pivdennyi")</f>
        <v>Yuzhny/Pivdennyi</v>
      </c>
      <c r="F261" s="5" t="str">
        <f>IFERROR(__xludf.DUMMYFUNCTION("""COMPUTED_VALUE"""),"China")</f>
        <v>China</v>
      </c>
      <c r="G261" s="5" t="str">
        <f>IFERROR(__xludf.DUMMYFUNCTION("""COMPUTED_VALUE"""),"Sunflower meal")</f>
        <v>Sunflower meal</v>
      </c>
      <c r="H261" s="6">
        <f>IFERROR(__xludf.DUMMYFUNCTION("""COMPUTED_VALUE"""),17485.0)</f>
        <v>17485</v>
      </c>
      <c r="I261" s="7">
        <f>IFERROR(__xludf.DUMMYFUNCTION("""COMPUTED_VALUE"""),44989.0)</f>
        <v>44989</v>
      </c>
      <c r="J261" s="7">
        <f>IFERROR(__xludf.DUMMYFUNCTION("""COMPUTED_VALUE"""),44996.0)</f>
        <v>44996</v>
      </c>
      <c r="K261" s="5" t="str">
        <f>IFERROR(__xludf.DUMMYFUNCTION("""COMPUTED_VALUE"""),"upper-middle-income")</f>
        <v>upper-middle-income</v>
      </c>
      <c r="L261" s="5" t="str">
        <f>IFERROR(__xludf.DUMMYFUNCTION("""COMPUTED_VALUE"""),"India")</f>
        <v>India</v>
      </c>
      <c r="M261" s="5" t="str">
        <f>IFERROR(__xludf.DUMMYFUNCTION("""COMPUTED_VALUE"""),"East Asia &amp; Pacific")</f>
        <v>East Asia &amp; Pacific</v>
      </c>
      <c r="N261" s="5" t="str">
        <f>IFERROR(__xludf.DUMMYFUNCTION("""COMPUTED_VALUE"""),"Asia-Pacific")</f>
        <v>Asia-Pacific</v>
      </c>
      <c r="O261" s="5" t="str">
        <f>IFERROR(__xludf.DUMMYFUNCTION("""COMPUTED_VALUE"""),"developing")</f>
        <v>developing</v>
      </c>
      <c r="P261" s="5"/>
      <c r="Q261" s="5"/>
    </row>
    <row r="262">
      <c r="A262" s="5" t="str">
        <f>IFERROR(__xludf.DUMMYFUNCTION("""COMPUTED_VALUE"""),"Outbound")</f>
        <v>Outbound</v>
      </c>
      <c r="B262" s="5">
        <f>IFERROR(__xludf.DUMMYFUNCTION("""COMPUTED_VALUE"""),782.0)</f>
        <v>782</v>
      </c>
      <c r="C262" s="5" t="str">
        <f>IFERROR(__xludf.DUMMYFUNCTION("""COMPUTED_VALUE"""),"AVRA I ")</f>
        <v>AVRA I </v>
      </c>
      <c r="D262" s="5">
        <f>IFERROR(__xludf.DUMMYFUNCTION("""COMPUTED_VALUE"""),9569932.0)</f>
        <v>9569932</v>
      </c>
      <c r="E262" s="5" t="str">
        <f>IFERROR(__xludf.DUMMYFUNCTION("""COMPUTED_VALUE"""),"Odesa")</f>
        <v>Odesa</v>
      </c>
      <c r="F262" s="5" t="str">
        <f>IFERROR(__xludf.DUMMYFUNCTION("""COMPUTED_VALUE"""),"Kenya")</f>
        <v>Kenya</v>
      </c>
      <c r="G262" s="5" t="str">
        <f>IFERROR(__xludf.DUMMYFUNCTION("""COMPUTED_VALUE"""),"Wheat")</f>
        <v>Wheat</v>
      </c>
      <c r="H262" s="6">
        <f>IFERROR(__xludf.DUMMYFUNCTION("""COMPUTED_VALUE"""),49550.0)</f>
        <v>49550</v>
      </c>
      <c r="I262" s="7">
        <f>IFERROR(__xludf.DUMMYFUNCTION("""COMPUTED_VALUE"""),44989.0)</f>
        <v>44989</v>
      </c>
      <c r="J262" s="7">
        <f>IFERROR(__xludf.DUMMYFUNCTION("""COMPUTED_VALUE"""),44998.0)</f>
        <v>44998</v>
      </c>
      <c r="K262" s="5" t="str">
        <f>IFERROR(__xludf.DUMMYFUNCTION("""COMPUTED_VALUE"""),"lower-middle income")</f>
        <v>lower-middle income</v>
      </c>
      <c r="L262" s="5" t="str">
        <f>IFERROR(__xludf.DUMMYFUNCTION("""COMPUTED_VALUE"""),"Greece")</f>
        <v>Greece</v>
      </c>
      <c r="M262" s="5" t="str">
        <f>IFERROR(__xludf.DUMMYFUNCTION("""COMPUTED_VALUE"""),"Sub-Saharan Africa")</f>
        <v>Sub-Saharan Africa</v>
      </c>
      <c r="N262" s="5" t="str">
        <f>IFERROR(__xludf.DUMMYFUNCTION("""COMPUTED_VALUE"""),"Africa")</f>
        <v>Africa</v>
      </c>
      <c r="O262" s="5" t="str">
        <f>IFERROR(__xludf.DUMMYFUNCTION("""COMPUTED_VALUE"""),"developing")</f>
        <v>developing</v>
      </c>
      <c r="P262" s="5"/>
      <c r="Q262" s="5"/>
    </row>
    <row r="263">
      <c r="A263" s="5" t="str">
        <f>IFERROR(__xludf.DUMMYFUNCTION("""COMPUTED_VALUE"""),"Outbound")</f>
        <v>Outbound</v>
      </c>
      <c r="B263" s="5">
        <f>IFERROR(__xludf.DUMMYFUNCTION("""COMPUTED_VALUE"""),781.0)</f>
        <v>781</v>
      </c>
      <c r="C263" s="5" t="str">
        <f>IFERROR(__xludf.DUMMYFUNCTION("""COMPUTED_VALUE"""),"THE STRONG")</f>
        <v>THE STRONG</v>
      </c>
      <c r="D263" s="5">
        <f>IFERROR(__xludf.DUMMYFUNCTION("""COMPUTED_VALUE"""),9287455.0)</f>
        <v>9287455</v>
      </c>
      <c r="E263" s="5" t="str">
        <f>IFERROR(__xludf.DUMMYFUNCTION("""COMPUTED_VALUE"""),"Odesa")</f>
        <v>Odesa</v>
      </c>
      <c r="F263" s="5" t="str">
        <f>IFERROR(__xludf.DUMMYFUNCTION("""COMPUTED_VALUE"""),"China")</f>
        <v>China</v>
      </c>
      <c r="G263" s="5" t="str">
        <f>IFERROR(__xludf.DUMMYFUNCTION("""COMPUTED_VALUE"""),"Corn")</f>
        <v>Corn</v>
      </c>
      <c r="H263" s="6">
        <f>IFERROR(__xludf.DUMMYFUNCTION("""COMPUTED_VALUE"""),64867.0)</f>
        <v>64867</v>
      </c>
      <c r="I263" s="7">
        <f>IFERROR(__xludf.DUMMYFUNCTION("""COMPUTED_VALUE"""),44988.0)</f>
        <v>44988</v>
      </c>
      <c r="J263" s="7">
        <f>IFERROR(__xludf.DUMMYFUNCTION("""COMPUTED_VALUE"""),45000.0)</f>
        <v>45000</v>
      </c>
      <c r="K263" s="5" t="str">
        <f>IFERROR(__xludf.DUMMYFUNCTION("""COMPUTED_VALUE"""),"upper-middle-income")</f>
        <v>upper-middle-income</v>
      </c>
      <c r="L263" s="5" t="str">
        <f>IFERROR(__xludf.DUMMYFUNCTION("""COMPUTED_VALUE"""),"Panama")</f>
        <v>Panama</v>
      </c>
      <c r="M263" s="5" t="str">
        <f>IFERROR(__xludf.DUMMYFUNCTION("""COMPUTED_VALUE"""),"East Asia &amp; Pacific")</f>
        <v>East Asia &amp; Pacific</v>
      </c>
      <c r="N263" s="5" t="str">
        <f>IFERROR(__xludf.DUMMYFUNCTION("""COMPUTED_VALUE"""),"Asia-Pacific")</f>
        <v>Asia-Pacific</v>
      </c>
      <c r="O263" s="5" t="str">
        <f>IFERROR(__xludf.DUMMYFUNCTION("""COMPUTED_VALUE"""),"developing")</f>
        <v>developing</v>
      </c>
      <c r="P263" s="5"/>
      <c r="Q263" s="5"/>
    </row>
    <row r="264">
      <c r="A264" s="5" t="str">
        <f>IFERROR(__xludf.DUMMYFUNCTION("""COMPUTED_VALUE"""),"Outbound")</f>
        <v>Outbound</v>
      </c>
      <c r="B264" s="5">
        <f>IFERROR(__xludf.DUMMYFUNCTION("""COMPUTED_VALUE"""),780.0)</f>
        <v>780</v>
      </c>
      <c r="C264" s="5" t="str">
        <f>IFERROR(__xludf.DUMMYFUNCTION("""COMPUTED_VALUE"""),"ARSLAND")</f>
        <v>ARSLAND</v>
      </c>
      <c r="D264" s="5">
        <f>IFERROR(__xludf.DUMMYFUNCTION("""COMPUTED_VALUE"""),9395989.0)</f>
        <v>9395989</v>
      </c>
      <c r="E264" s="5" t="str">
        <f>IFERROR(__xludf.DUMMYFUNCTION("""COMPUTED_VALUE"""),"Yuzhny/Pivdennyi")</f>
        <v>Yuzhny/Pivdennyi</v>
      </c>
      <c r="F264" s="5" t="str">
        <f>IFERROR(__xludf.DUMMYFUNCTION("""COMPUTED_VALUE"""),"Italy")</f>
        <v>Italy</v>
      </c>
      <c r="G264" s="5" t="str">
        <f>IFERROR(__xludf.DUMMYFUNCTION("""COMPUTED_VALUE"""),"Sunflower oil")</f>
        <v>Sunflower oil</v>
      </c>
      <c r="H264" s="6">
        <f>IFERROR(__xludf.DUMMYFUNCTION("""COMPUTED_VALUE"""),15750.0)</f>
        <v>15750</v>
      </c>
      <c r="I264" s="7">
        <f>IFERROR(__xludf.DUMMYFUNCTION("""COMPUTED_VALUE"""),44988.0)</f>
        <v>44988</v>
      </c>
      <c r="J264" s="7">
        <f>IFERROR(__xludf.DUMMYFUNCTION("""COMPUTED_VALUE"""),44998.0)</f>
        <v>44998</v>
      </c>
      <c r="K264" s="5" t="str">
        <f>IFERROR(__xludf.DUMMYFUNCTION("""COMPUTED_VALUE"""),"high-income")</f>
        <v>high-income</v>
      </c>
      <c r="L264" s="5" t="str">
        <f>IFERROR(__xludf.DUMMYFUNCTION("""COMPUTED_VALUE"""),"Malta")</f>
        <v>Malta</v>
      </c>
      <c r="M264" s="5" t="str">
        <f>IFERROR(__xludf.DUMMYFUNCTION("""COMPUTED_VALUE"""),"Europe &amp; Central Asia")</f>
        <v>Europe &amp; Central Asia</v>
      </c>
      <c r="N264" s="5" t="str">
        <f>IFERROR(__xludf.DUMMYFUNCTION("""COMPUTED_VALUE"""),"Western Europe and Others")</f>
        <v>Western Europe and Others</v>
      </c>
      <c r="O264" s="5" t="str">
        <f>IFERROR(__xludf.DUMMYFUNCTION("""COMPUTED_VALUE"""),"developed")</f>
        <v>developed</v>
      </c>
      <c r="P264" s="5"/>
      <c r="Q264" s="5"/>
    </row>
    <row r="265">
      <c r="A265" s="5" t="str">
        <f>IFERROR(__xludf.DUMMYFUNCTION("""COMPUTED_VALUE"""),"Outbound")</f>
        <v>Outbound</v>
      </c>
      <c r="B265" s="5">
        <f>IFERROR(__xludf.DUMMYFUNCTION("""COMPUTED_VALUE"""),779.0)</f>
        <v>779</v>
      </c>
      <c r="C265" s="5" t="str">
        <f>IFERROR(__xludf.DUMMYFUNCTION("""COMPUTED_VALUE"""),"MIM VANGELIS JR.")</f>
        <v>MIM VANGELIS JR.</v>
      </c>
      <c r="D265" s="5">
        <f>IFERROR(__xludf.DUMMYFUNCTION("""COMPUTED_VALUE"""),9302786.0)</f>
        <v>9302786</v>
      </c>
      <c r="E265" s="5" t="str">
        <f>IFERROR(__xludf.DUMMYFUNCTION("""COMPUTED_VALUE"""),"Yuzhny/Pivdennyi")</f>
        <v>Yuzhny/Pivdennyi</v>
      </c>
      <c r="F265" s="5" t="str">
        <f>IFERROR(__xludf.DUMMYFUNCTION("""COMPUTED_VALUE"""),"Portugal")</f>
        <v>Portugal</v>
      </c>
      <c r="G265" s="5" t="str">
        <f>IFERROR(__xludf.DUMMYFUNCTION("""COMPUTED_VALUE"""),"Corn")</f>
        <v>Corn</v>
      </c>
      <c r="H265" s="6">
        <f>IFERROR(__xludf.DUMMYFUNCTION("""COMPUTED_VALUE"""),65394.0)</f>
        <v>65394</v>
      </c>
      <c r="I265" s="7">
        <f>IFERROR(__xludf.DUMMYFUNCTION("""COMPUTED_VALUE"""),44987.0)</f>
        <v>44987</v>
      </c>
      <c r="J265" s="7">
        <f>IFERROR(__xludf.DUMMYFUNCTION("""COMPUTED_VALUE"""),45004.0)</f>
        <v>45004</v>
      </c>
      <c r="K265" s="5" t="str">
        <f>IFERROR(__xludf.DUMMYFUNCTION("""COMPUTED_VALUE"""),"high-income")</f>
        <v>high-income</v>
      </c>
      <c r="L265" s="5" t="str">
        <f>IFERROR(__xludf.DUMMYFUNCTION("""COMPUTED_VALUE"""),"Liberia")</f>
        <v>Liberia</v>
      </c>
      <c r="M265" s="5" t="str">
        <f>IFERROR(__xludf.DUMMYFUNCTION("""COMPUTED_VALUE"""),"Europe &amp; Central Asia")</f>
        <v>Europe &amp; Central Asia</v>
      </c>
      <c r="N265" s="5" t="str">
        <f>IFERROR(__xludf.DUMMYFUNCTION("""COMPUTED_VALUE"""),"Western Europe and Others")</f>
        <v>Western Europe and Others</v>
      </c>
      <c r="O265" s="5" t="str">
        <f>IFERROR(__xludf.DUMMYFUNCTION("""COMPUTED_VALUE"""),"developed")</f>
        <v>developed</v>
      </c>
      <c r="P265" s="5"/>
      <c r="Q265" s="5"/>
    </row>
    <row r="266">
      <c r="A266" s="5" t="str">
        <f>IFERROR(__xludf.DUMMYFUNCTION("""COMPUTED_VALUE"""),"Outbound")</f>
        <v>Outbound</v>
      </c>
      <c r="B266" s="5">
        <f>IFERROR(__xludf.DUMMYFUNCTION("""COMPUTED_VALUE"""),778.0)</f>
        <v>778</v>
      </c>
      <c r="C266" s="5" t="str">
        <f>IFERROR(__xludf.DUMMYFUNCTION("""COMPUTED_VALUE"""),"ETERNAL BRIGHT")</f>
        <v>ETERNAL BRIGHT</v>
      </c>
      <c r="D266" s="5">
        <f>IFERROR(__xludf.DUMMYFUNCTION("""COMPUTED_VALUE"""),9287780.0)</f>
        <v>9287780</v>
      </c>
      <c r="E266" s="5" t="str">
        <f>IFERROR(__xludf.DUMMYFUNCTION("""COMPUTED_VALUE"""),"Odesa")</f>
        <v>Odesa</v>
      </c>
      <c r="F266" s="5" t="str">
        <f>IFERROR(__xludf.DUMMYFUNCTION("""COMPUTED_VALUE"""),"China")</f>
        <v>China</v>
      </c>
      <c r="G266" s="5" t="str">
        <f>IFERROR(__xludf.DUMMYFUNCTION("""COMPUTED_VALUE"""),"Corn")</f>
        <v>Corn</v>
      </c>
      <c r="H266" s="6">
        <f>IFERROR(__xludf.DUMMYFUNCTION("""COMPUTED_VALUE"""),65650.0)</f>
        <v>65650</v>
      </c>
      <c r="I266" s="7">
        <f>IFERROR(__xludf.DUMMYFUNCTION("""COMPUTED_VALUE"""),44987.0)</f>
        <v>44987</v>
      </c>
      <c r="J266" s="7">
        <f>IFERROR(__xludf.DUMMYFUNCTION("""COMPUTED_VALUE"""),44996.0)</f>
        <v>44996</v>
      </c>
      <c r="K266" s="5" t="str">
        <f>IFERROR(__xludf.DUMMYFUNCTION("""COMPUTED_VALUE"""),"upper-middle-income")</f>
        <v>upper-middle-income</v>
      </c>
      <c r="L266" s="5" t="str">
        <f>IFERROR(__xludf.DUMMYFUNCTION("""COMPUTED_VALUE"""),"Panama")</f>
        <v>Panama</v>
      </c>
      <c r="M266" s="5" t="str">
        <f>IFERROR(__xludf.DUMMYFUNCTION("""COMPUTED_VALUE"""),"East Asia &amp; Pacific")</f>
        <v>East Asia &amp; Pacific</v>
      </c>
      <c r="N266" s="5" t="str">
        <f>IFERROR(__xludf.DUMMYFUNCTION("""COMPUTED_VALUE"""),"Asia-Pacific")</f>
        <v>Asia-Pacific</v>
      </c>
      <c r="O266" s="5" t="str">
        <f>IFERROR(__xludf.DUMMYFUNCTION("""COMPUTED_VALUE"""),"developing")</f>
        <v>developing</v>
      </c>
      <c r="P266" s="5"/>
      <c r="Q266" s="5"/>
    </row>
    <row r="267">
      <c r="A267" s="5" t="str">
        <f>IFERROR(__xludf.DUMMYFUNCTION("""COMPUTED_VALUE"""),"Outbound")</f>
        <v>Outbound</v>
      </c>
      <c r="B267" s="5">
        <f>IFERROR(__xludf.DUMMYFUNCTION("""COMPUTED_VALUE"""),777.0)</f>
        <v>777</v>
      </c>
      <c r="C267" s="5" t="str">
        <f>IFERROR(__xludf.DUMMYFUNCTION("""COMPUTED_VALUE"""),"LASKARO S")</f>
        <v>LASKARO S</v>
      </c>
      <c r="D267" s="5">
        <f>IFERROR(__xludf.DUMMYFUNCTION("""COMPUTED_VALUE"""),9316050.0)</f>
        <v>9316050</v>
      </c>
      <c r="E267" s="5" t="str">
        <f>IFERROR(__xludf.DUMMYFUNCTION("""COMPUTED_VALUE"""),"Chornomorsk")</f>
        <v>Chornomorsk</v>
      </c>
      <c r="F267" s="5" t="str">
        <f>IFERROR(__xludf.DUMMYFUNCTION("""COMPUTED_VALUE"""),"Belgium")</f>
        <v>Belgium</v>
      </c>
      <c r="G267" s="5" t="str">
        <f>IFERROR(__xludf.DUMMYFUNCTION("""COMPUTED_VALUE"""),"Corn")</f>
        <v>Corn</v>
      </c>
      <c r="H267" s="6">
        <f>IFERROR(__xludf.DUMMYFUNCTION("""COMPUTED_VALUE"""),62088.0)</f>
        <v>62088</v>
      </c>
      <c r="I267" s="7">
        <f>IFERROR(__xludf.DUMMYFUNCTION("""COMPUTED_VALUE"""),44986.0)</f>
        <v>44986</v>
      </c>
      <c r="J267" s="7">
        <f>IFERROR(__xludf.DUMMYFUNCTION("""COMPUTED_VALUE"""),44997.0)</f>
        <v>44997</v>
      </c>
      <c r="K267" s="5" t="str">
        <f>IFERROR(__xludf.DUMMYFUNCTION("""COMPUTED_VALUE"""),"high-income")</f>
        <v>high-income</v>
      </c>
      <c r="L267" s="5" t="str">
        <f>IFERROR(__xludf.DUMMYFUNCTION("""COMPUTED_VALUE"""),"Liberia")</f>
        <v>Liberia</v>
      </c>
      <c r="M267" s="5" t="str">
        <f>IFERROR(__xludf.DUMMYFUNCTION("""COMPUTED_VALUE"""),"Europe &amp; Central Asia")</f>
        <v>Europe &amp; Central Asia</v>
      </c>
      <c r="N267" s="5" t="str">
        <f>IFERROR(__xludf.DUMMYFUNCTION("""COMPUTED_VALUE"""),"Western Europe and Others")</f>
        <v>Western Europe and Others</v>
      </c>
      <c r="O267" s="5" t="str">
        <f>IFERROR(__xludf.DUMMYFUNCTION("""COMPUTED_VALUE"""),"developed")</f>
        <v>developed</v>
      </c>
      <c r="P267" s="5"/>
      <c r="Q267" s="5"/>
    </row>
    <row r="268">
      <c r="A268" s="5" t="str">
        <f>IFERROR(__xludf.DUMMYFUNCTION("""COMPUTED_VALUE"""),"Outbound")</f>
        <v>Outbound</v>
      </c>
      <c r="B268" s="5">
        <f>IFERROR(__xludf.DUMMYFUNCTION("""COMPUTED_VALUE"""),776.0)</f>
        <v>776</v>
      </c>
      <c r="C268" s="5" t="str">
        <f>IFERROR(__xludf.DUMMYFUNCTION("""COMPUTED_VALUE"""),"GENEVE   ")</f>
        <v>GENEVE   </v>
      </c>
      <c r="D268" s="5">
        <f>IFERROR(__xludf.DUMMYFUNCTION("""COMPUTED_VALUE"""),9442926.0)</f>
        <v>9442926</v>
      </c>
      <c r="E268" s="5" t="str">
        <f>IFERROR(__xludf.DUMMYFUNCTION("""COMPUTED_VALUE"""),"Yuzhny/Pivdennyi")</f>
        <v>Yuzhny/Pivdennyi</v>
      </c>
      <c r="F268" s="5" t="str">
        <f>IFERROR(__xludf.DUMMYFUNCTION("""COMPUTED_VALUE"""),"Türkiye")</f>
        <v>Türkiye</v>
      </c>
      <c r="G268" s="5" t="str">
        <f>IFERROR(__xludf.DUMMYFUNCTION("""COMPUTED_VALUE"""),"Wheat")</f>
        <v>Wheat</v>
      </c>
      <c r="H268" s="6">
        <f>IFERROR(__xludf.DUMMYFUNCTION("""COMPUTED_VALUE"""),32000.0)</f>
        <v>32000</v>
      </c>
      <c r="I268" s="7">
        <f>IFERROR(__xludf.DUMMYFUNCTION("""COMPUTED_VALUE"""),44986.0)</f>
        <v>44986</v>
      </c>
      <c r="J268" s="7">
        <f>IFERROR(__xludf.DUMMYFUNCTION("""COMPUTED_VALUE"""),44995.0)</f>
        <v>44995</v>
      </c>
      <c r="K268" s="5" t="str">
        <f>IFERROR(__xludf.DUMMYFUNCTION("""COMPUTED_VALUE"""),"upper-middle-income")</f>
        <v>upper-middle-income</v>
      </c>
      <c r="L268" s="5" t="str">
        <f>IFERROR(__xludf.DUMMYFUNCTION("""COMPUTED_VALUE"""),"Marshall Islands")</f>
        <v>Marshall Islands</v>
      </c>
      <c r="M268" s="5" t="str">
        <f>IFERROR(__xludf.DUMMYFUNCTION("""COMPUTED_VALUE"""),"Europe &amp; Central Asia")</f>
        <v>Europe &amp; Central Asia</v>
      </c>
      <c r="N268" s="5" t="str">
        <f>IFERROR(__xludf.DUMMYFUNCTION("""COMPUTED_VALUE"""),"Asia-Pacific")</f>
        <v>Asia-Pacific</v>
      </c>
      <c r="O268" s="5" t="str">
        <f>IFERROR(__xludf.DUMMYFUNCTION("""COMPUTED_VALUE"""),"developing")</f>
        <v>developing</v>
      </c>
      <c r="P268" s="5"/>
      <c r="Q268" s="5"/>
    </row>
    <row r="269">
      <c r="A269" s="5" t="str">
        <f>IFERROR(__xludf.DUMMYFUNCTION("""COMPUTED_VALUE"""),"Outbound +")</f>
        <v>Outbound +</v>
      </c>
      <c r="B269" s="5">
        <f>IFERROR(__xludf.DUMMYFUNCTION("""COMPUTED_VALUE"""),776.0)</f>
        <v>776</v>
      </c>
      <c r="C269" s="5" t="str">
        <f>IFERROR(__xludf.DUMMYFUNCTION("""COMPUTED_VALUE"""),"GENEVE   ")</f>
        <v>GENEVE   </v>
      </c>
      <c r="D269" s="5">
        <f>IFERROR(__xludf.DUMMYFUNCTION("""COMPUTED_VALUE"""),9442926.0)</f>
        <v>9442926</v>
      </c>
      <c r="E269" s="5" t="str">
        <f>IFERROR(__xludf.DUMMYFUNCTION("""COMPUTED_VALUE"""),"Yuzhny/Pivdennyi")</f>
        <v>Yuzhny/Pivdennyi</v>
      </c>
      <c r="F269" s="5" t="str">
        <f>IFERROR(__xludf.DUMMYFUNCTION("""COMPUTED_VALUE"""),"Türkiye")</f>
        <v>Türkiye</v>
      </c>
      <c r="G269" s="5" t="str">
        <f>IFERROR(__xludf.DUMMYFUNCTION("""COMPUTED_VALUE"""),"Barley")</f>
        <v>Barley</v>
      </c>
      <c r="H269" s="6">
        <f>IFERROR(__xludf.DUMMYFUNCTION("""COMPUTED_VALUE"""),33000.0)</f>
        <v>33000</v>
      </c>
      <c r="I269" s="7">
        <f>IFERROR(__xludf.DUMMYFUNCTION("""COMPUTED_VALUE"""),44986.0)</f>
        <v>44986</v>
      </c>
      <c r="J269" s="7">
        <f>IFERROR(__xludf.DUMMYFUNCTION("""COMPUTED_VALUE"""),44995.0)</f>
        <v>44995</v>
      </c>
      <c r="K269" s="5" t="str">
        <f>IFERROR(__xludf.DUMMYFUNCTION("""COMPUTED_VALUE"""),"upper-middle-income")</f>
        <v>upper-middle-income</v>
      </c>
      <c r="L269" s="5" t="str">
        <f>IFERROR(__xludf.DUMMYFUNCTION("""COMPUTED_VALUE"""),"Marshall Islands")</f>
        <v>Marshall Islands</v>
      </c>
      <c r="M269" s="5" t="str">
        <f>IFERROR(__xludf.DUMMYFUNCTION("""COMPUTED_VALUE"""),"Europe &amp; Central Asia")</f>
        <v>Europe &amp; Central Asia</v>
      </c>
      <c r="N269" s="5" t="str">
        <f>IFERROR(__xludf.DUMMYFUNCTION("""COMPUTED_VALUE"""),"Asia-Pacific")</f>
        <v>Asia-Pacific</v>
      </c>
      <c r="O269" s="5" t="str">
        <f>IFERROR(__xludf.DUMMYFUNCTION("""COMPUTED_VALUE"""),"developing")</f>
        <v>developing</v>
      </c>
      <c r="P269" s="5"/>
      <c r="Q269" s="5"/>
    </row>
    <row r="270">
      <c r="A270" s="5" t="str">
        <f>IFERROR(__xludf.DUMMYFUNCTION("""COMPUTED_VALUE"""),"Outbound")</f>
        <v>Outbound</v>
      </c>
      <c r="B270" s="5">
        <f>IFERROR(__xludf.DUMMYFUNCTION("""COMPUTED_VALUE"""),775.0)</f>
        <v>775</v>
      </c>
      <c r="C270" s="5" t="str">
        <f>IFERROR(__xludf.DUMMYFUNCTION("""COMPUTED_VALUE"""),"ASTRA PERSEUS")</f>
        <v>ASTRA PERSEUS</v>
      </c>
      <c r="D270" s="5">
        <f>IFERROR(__xludf.DUMMYFUNCTION("""COMPUTED_VALUE"""),9611814.0)</f>
        <v>9611814</v>
      </c>
      <c r="E270" s="5" t="str">
        <f>IFERROR(__xludf.DUMMYFUNCTION("""COMPUTED_VALUE"""),"Yuzhny/Pivdennyi")</f>
        <v>Yuzhny/Pivdennyi</v>
      </c>
      <c r="F270" s="5" t="str">
        <f>IFERROR(__xludf.DUMMYFUNCTION("""COMPUTED_VALUE"""),"Spain")</f>
        <v>Spain</v>
      </c>
      <c r="G270" s="5" t="str">
        <f>IFERROR(__xludf.DUMMYFUNCTION("""COMPUTED_VALUE"""),"Corn")</f>
        <v>Corn</v>
      </c>
      <c r="H270" s="6">
        <f>IFERROR(__xludf.DUMMYFUNCTION("""COMPUTED_VALUE"""),55000.0)</f>
        <v>55000</v>
      </c>
      <c r="I270" s="7">
        <f>IFERROR(__xludf.DUMMYFUNCTION("""COMPUTED_VALUE"""),44986.0)</f>
        <v>44986</v>
      </c>
      <c r="J270" s="7">
        <f>IFERROR(__xludf.DUMMYFUNCTION("""COMPUTED_VALUE"""),44996.0)</f>
        <v>44996</v>
      </c>
      <c r="K270" s="5" t="str">
        <f>IFERROR(__xludf.DUMMYFUNCTION("""COMPUTED_VALUE"""),"high-income")</f>
        <v>high-income</v>
      </c>
      <c r="L270" s="5" t="str">
        <f>IFERROR(__xludf.DUMMYFUNCTION("""COMPUTED_VALUE"""),"Marshall Islands")</f>
        <v>Marshall Islands</v>
      </c>
      <c r="M270" s="5" t="str">
        <f>IFERROR(__xludf.DUMMYFUNCTION("""COMPUTED_VALUE"""),"Europe &amp; Central Asia")</f>
        <v>Europe &amp; Central Asia</v>
      </c>
      <c r="N270" s="5" t="str">
        <f>IFERROR(__xludf.DUMMYFUNCTION("""COMPUTED_VALUE"""),"Western Europe and Others")</f>
        <v>Western Europe and Others</v>
      </c>
      <c r="O270" s="5" t="str">
        <f>IFERROR(__xludf.DUMMYFUNCTION("""COMPUTED_VALUE"""),"developed")</f>
        <v>developed</v>
      </c>
      <c r="P270" s="5"/>
      <c r="Q270" s="5"/>
    </row>
    <row r="271">
      <c r="A271" s="5" t="str">
        <f>IFERROR(__xludf.DUMMYFUNCTION("""COMPUTED_VALUE"""),"Outbound")</f>
        <v>Outbound</v>
      </c>
      <c r="B271" s="5">
        <f>IFERROR(__xludf.DUMMYFUNCTION("""COMPUTED_VALUE"""),774.0)</f>
        <v>774</v>
      </c>
      <c r="C271" s="5" t="str">
        <f>IFERROR(__xludf.DUMMYFUNCTION("""COMPUTED_VALUE"""),"ANDONIS")</f>
        <v>ANDONIS</v>
      </c>
      <c r="D271" s="5">
        <f>IFERROR(__xludf.DUMMYFUNCTION("""COMPUTED_VALUE"""),9763916.0)</f>
        <v>9763916</v>
      </c>
      <c r="E271" s="5" t="str">
        <f>IFERROR(__xludf.DUMMYFUNCTION("""COMPUTED_VALUE"""),"Yuzhny/Pivdennyi")</f>
        <v>Yuzhny/Pivdennyi</v>
      </c>
      <c r="F271" s="5" t="str">
        <f>IFERROR(__xludf.DUMMYFUNCTION("""COMPUTED_VALUE"""),"China")</f>
        <v>China</v>
      </c>
      <c r="G271" s="5" t="str">
        <f>IFERROR(__xludf.DUMMYFUNCTION("""COMPUTED_VALUE"""),"Corn")</f>
        <v>Corn</v>
      </c>
      <c r="H271" s="6">
        <f>IFERROR(__xludf.DUMMYFUNCTION("""COMPUTED_VALUE"""),48502.0)</f>
        <v>48502</v>
      </c>
      <c r="I271" s="7">
        <f>IFERROR(__xludf.DUMMYFUNCTION("""COMPUTED_VALUE"""),44986.0)</f>
        <v>44986</v>
      </c>
      <c r="J271" s="7">
        <f>IFERROR(__xludf.DUMMYFUNCTION("""COMPUTED_VALUE"""),44998.0)</f>
        <v>44998</v>
      </c>
      <c r="K271" s="5" t="str">
        <f>IFERROR(__xludf.DUMMYFUNCTION("""COMPUTED_VALUE"""),"upper-middle-income")</f>
        <v>upper-middle-income</v>
      </c>
      <c r="L271" s="5" t="str">
        <f>IFERROR(__xludf.DUMMYFUNCTION("""COMPUTED_VALUE"""),"Marshall Islands")</f>
        <v>Marshall Islands</v>
      </c>
      <c r="M271" s="5" t="str">
        <f>IFERROR(__xludf.DUMMYFUNCTION("""COMPUTED_VALUE"""),"East Asia &amp; Pacific")</f>
        <v>East Asia &amp; Pacific</v>
      </c>
      <c r="N271" s="5" t="str">
        <f>IFERROR(__xludf.DUMMYFUNCTION("""COMPUTED_VALUE"""),"Asia-Pacific")</f>
        <v>Asia-Pacific</v>
      </c>
      <c r="O271" s="5" t="str">
        <f>IFERROR(__xludf.DUMMYFUNCTION("""COMPUTED_VALUE"""),"developing")</f>
        <v>developing</v>
      </c>
      <c r="P271" s="5"/>
      <c r="Q271" s="5"/>
    </row>
    <row r="272">
      <c r="A272" s="5" t="str">
        <f>IFERROR(__xludf.DUMMYFUNCTION("""COMPUTED_VALUE"""),"Outbound +")</f>
        <v>Outbound +</v>
      </c>
      <c r="B272" s="5">
        <f>IFERROR(__xludf.DUMMYFUNCTION("""COMPUTED_VALUE"""),774.0)</f>
        <v>774</v>
      </c>
      <c r="C272" s="5" t="str">
        <f>IFERROR(__xludf.DUMMYFUNCTION("""COMPUTED_VALUE"""),"ANDONIS")</f>
        <v>ANDONIS</v>
      </c>
      <c r="D272" s="5">
        <f>IFERROR(__xludf.DUMMYFUNCTION("""COMPUTED_VALUE"""),9763916.0)</f>
        <v>9763916</v>
      </c>
      <c r="E272" s="5" t="str">
        <f>IFERROR(__xludf.DUMMYFUNCTION("""COMPUTED_VALUE"""),"Yuzhny/Pivdennyi")</f>
        <v>Yuzhny/Pivdennyi</v>
      </c>
      <c r="F272" s="5" t="str">
        <f>IFERROR(__xludf.DUMMYFUNCTION("""COMPUTED_VALUE"""),"China")</f>
        <v>China</v>
      </c>
      <c r="G272" s="5" t="str">
        <f>IFERROR(__xludf.DUMMYFUNCTION("""COMPUTED_VALUE"""),"Sunflower meal")</f>
        <v>Sunflower meal</v>
      </c>
      <c r="H272" s="6">
        <f>IFERROR(__xludf.DUMMYFUNCTION("""COMPUTED_VALUE"""),18700.0)</f>
        <v>18700</v>
      </c>
      <c r="I272" s="7">
        <f>IFERROR(__xludf.DUMMYFUNCTION("""COMPUTED_VALUE"""),44986.0)</f>
        <v>44986</v>
      </c>
      <c r="J272" s="7">
        <f>IFERROR(__xludf.DUMMYFUNCTION("""COMPUTED_VALUE"""),44998.0)</f>
        <v>44998</v>
      </c>
      <c r="K272" s="5" t="str">
        <f>IFERROR(__xludf.DUMMYFUNCTION("""COMPUTED_VALUE"""),"upper-middle-income")</f>
        <v>upper-middle-income</v>
      </c>
      <c r="L272" s="5" t="str">
        <f>IFERROR(__xludf.DUMMYFUNCTION("""COMPUTED_VALUE"""),"Marshall Islands")</f>
        <v>Marshall Islands</v>
      </c>
      <c r="M272" s="5" t="str">
        <f>IFERROR(__xludf.DUMMYFUNCTION("""COMPUTED_VALUE"""),"East Asia &amp; Pacific")</f>
        <v>East Asia &amp; Pacific</v>
      </c>
      <c r="N272" s="5" t="str">
        <f>IFERROR(__xludf.DUMMYFUNCTION("""COMPUTED_VALUE"""),"Asia-Pacific")</f>
        <v>Asia-Pacific</v>
      </c>
      <c r="O272" s="5" t="str">
        <f>IFERROR(__xludf.DUMMYFUNCTION("""COMPUTED_VALUE"""),"developing")</f>
        <v>developing</v>
      </c>
      <c r="P272" s="5"/>
      <c r="Q272" s="5"/>
    </row>
    <row r="273">
      <c r="A273" s="5" t="str">
        <f>IFERROR(__xludf.DUMMYFUNCTION("""COMPUTED_VALUE"""),"Outbound")</f>
        <v>Outbound</v>
      </c>
      <c r="B273" s="5">
        <f>IFERROR(__xludf.DUMMYFUNCTION("""COMPUTED_VALUE"""),773.0)</f>
        <v>773</v>
      </c>
      <c r="C273" s="5" t="str">
        <f>IFERROR(__xludf.DUMMYFUNCTION("""COMPUTED_VALUE"""),"NEW LIBERTY")</f>
        <v>NEW LIBERTY</v>
      </c>
      <c r="D273" s="5">
        <f>IFERROR(__xludf.DUMMYFUNCTION("""COMPUTED_VALUE"""),9221645.0)</f>
        <v>9221645</v>
      </c>
      <c r="E273" s="5" t="str">
        <f>IFERROR(__xludf.DUMMYFUNCTION("""COMPUTED_VALUE"""),"Odesa")</f>
        <v>Odesa</v>
      </c>
      <c r="F273" s="5" t="str">
        <f>IFERROR(__xludf.DUMMYFUNCTION("""COMPUTED_VALUE"""),"Egypt")</f>
        <v>Egypt</v>
      </c>
      <c r="G273" s="5" t="str">
        <f>IFERROR(__xludf.DUMMYFUNCTION("""COMPUTED_VALUE"""),"Wheat")</f>
        <v>Wheat</v>
      </c>
      <c r="H273" s="6">
        <f>IFERROR(__xludf.DUMMYFUNCTION("""COMPUTED_VALUE"""),15000.0)</f>
        <v>15000</v>
      </c>
      <c r="I273" s="7">
        <f>IFERROR(__xludf.DUMMYFUNCTION("""COMPUTED_VALUE"""),44985.0)</f>
        <v>44985</v>
      </c>
      <c r="J273" s="7">
        <f>IFERROR(__xludf.DUMMYFUNCTION("""COMPUTED_VALUE"""),44995.0)</f>
        <v>44995</v>
      </c>
      <c r="K273" s="5" t="str">
        <f>IFERROR(__xludf.DUMMYFUNCTION("""COMPUTED_VALUE"""),"lower-middle income")</f>
        <v>lower-middle income</v>
      </c>
      <c r="L273" s="5" t="str">
        <f>IFERROR(__xludf.DUMMYFUNCTION("""COMPUTED_VALUE"""),"Belize")</f>
        <v>Belize</v>
      </c>
      <c r="M273" s="5" t="str">
        <f>IFERROR(__xludf.DUMMYFUNCTION("""COMPUTED_VALUE"""),"Middle East &amp; North Africa")</f>
        <v>Middle East &amp; North Africa</v>
      </c>
      <c r="N273" s="5" t="str">
        <f>IFERROR(__xludf.DUMMYFUNCTION("""COMPUTED_VALUE"""),"Africa")</f>
        <v>Africa</v>
      </c>
      <c r="O273" s="5" t="str">
        <f>IFERROR(__xludf.DUMMYFUNCTION("""COMPUTED_VALUE"""),"developing")</f>
        <v>developing</v>
      </c>
      <c r="P273" s="5"/>
      <c r="Q273" s="5"/>
    </row>
    <row r="274">
      <c r="A274" s="5" t="str">
        <f>IFERROR(__xludf.DUMMYFUNCTION("""COMPUTED_VALUE"""),"Outbound +")</f>
        <v>Outbound +</v>
      </c>
      <c r="B274" s="5">
        <f>IFERROR(__xludf.DUMMYFUNCTION("""COMPUTED_VALUE"""),773.0)</f>
        <v>773</v>
      </c>
      <c r="C274" s="5" t="str">
        <f>IFERROR(__xludf.DUMMYFUNCTION("""COMPUTED_VALUE"""),"NEW LIBERTY")</f>
        <v>NEW LIBERTY</v>
      </c>
      <c r="D274" s="5">
        <f>IFERROR(__xludf.DUMMYFUNCTION("""COMPUTED_VALUE"""),9221645.0)</f>
        <v>9221645</v>
      </c>
      <c r="E274" s="5" t="str">
        <f>IFERROR(__xludf.DUMMYFUNCTION("""COMPUTED_VALUE"""),"Odesa")</f>
        <v>Odesa</v>
      </c>
      <c r="F274" s="5" t="str">
        <f>IFERROR(__xludf.DUMMYFUNCTION("""COMPUTED_VALUE"""),"Egypt")</f>
        <v>Egypt</v>
      </c>
      <c r="G274" s="5" t="str">
        <f>IFERROR(__xludf.DUMMYFUNCTION("""COMPUTED_VALUE"""),"Corn")</f>
        <v>Corn</v>
      </c>
      <c r="H274" s="6">
        <f>IFERROR(__xludf.DUMMYFUNCTION("""COMPUTED_VALUE"""),11000.0)</f>
        <v>11000</v>
      </c>
      <c r="I274" s="7">
        <f>IFERROR(__xludf.DUMMYFUNCTION("""COMPUTED_VALUE"""),44985.0)</f>
        <v>44985</v>
      </c>
      <c r="J274" s="7">
        <f>IFERROR(__xludf.DUMMYFUNCTION("""COMPUTED_VALUE"""),44995.0)</f>
        <v>44995</v>
      </c>
      <c r="K274" s="5" t="str">
        <f>IFERROR(__xludf.DUMMYFUNCTION("""COMPUTED_VALUE"""),"lower-middle income")</f>
        <v>lower-middle income</v>
      </c>
      <c r="L274" s="5" t="str">
        <f>IFERROR(__xludf.DUMMYFUNCTION("""COMPUTED_VALUE"""),"Belize")</f>
        <v>Belize</v>
      </c>
      <c r="M274" s="5" t="str">
        <f>IFERROR(__xludf.DUMMYFUNCTION("""COMPUTED_VALUE"""),"Middle East &amp; North Africa")</f>
        <v>Middle East &amp; North Africa</v>
      </c>
      <c r="N274" s="5" t="str">
        <f>IFERROR(__xludf.DUMMYFUNCTION("""COMPUTED_VALUE"""),"Africa")</f>
        <v>Africa</v>
      </c>
      <c r="O274" s="5" t="str">
        <f>IFERROR(__xludf.DUMMYFUNCTION("""COMPUTED_VALUE"""),"developing")</f>
        <v>developing</v>
      </c>
      <c r="P274" s="5"/>
      <c r="Q274" s="5"/>
    </row>
    <row r="275">
      <c r="A275" s="5" t="str">
        <f>IFERROR(__xludf.DUMMYFUNCTION("""COMPUTED_VALUE"""),"Outbound")</f>
        <v>Outbound</v>
      </c>
      <c r="B275" s="5">
        <f>IFERROR(__xludf.DUMMYFUNCTION("""COMPUTED_VALUE"""),772.0)</f>
        <v>772</v>
      </c>
      <c r="C275" s="5" t="str">
        <f>IFERROR(__xludf.DUMMYFUNCTION("""COMPUTED_VALUE"""),"SEAGUARDIAN")</f>
        <v>SEAGUARDIAN</v>
      </c>
      <c r="D275" s="5">
        <f>IFERROR(__xludf.DUMMYFUNCTION("""COMPUTED_VALUE"""),9174268.0)</f>
        <v>9174268</v>
      </c>
      <c r="E275" s="5" t="str">
        <f>IFERROR(__xludf.DUMMYFUNCTION("""COMPUTED_VALUE"""),"Chornomorsk")</f>
        <v>Chornomorsk</v>
      </c>
      <c r="F275" s="5" t="str">
        <f>IFERROR(__xludf.DUMMYFUNCTION("""COMPUTED_VALUE"""),"The Netherlands")</f>
        <v>The Netherlands</v>
      </c>
      <c r="G275" s="5" t="str">
        <f>IFERROR(__xludf.DUMMYFUNCTION("""COMPUTED_VALUE"""),"Corn")</f>
        <v>Corn</v>
      </c>
      <c r="H275" s="6">
        <f>IFERROR(__xludf.DUMMYFUNCTION("""COMPUTED_VALUE"""),64877.0)</f>
        <v>64877</v>
      </c>
      <c r="I275" s="7">
        <f>IFERROR(__xludf.DUMMYFUNCTION("""COMPUTED_VALUE"""),44984.0)</f>
        <v>44984</v>
      </c>
      <c r="J275" s="7">
        <f>IFERROR(__xludf.DUMMYFUNCTION("""COMPUTED_VALUE"""),44994.0)</f>
        <v>44994</v>
      </c>
      <c r="K275" s="5" t="str">
        <f>IFERROR(__xludf.DUMMYFUNCTION("""COMPUTED_VALUE"""),"high-income")</f>
        <v>high-income</v>
      </c>
      <c r="L275" s="5" t="str">
        <f>IFERROR(__xludf.DUMMYFUNCTION("""COMPUTED_VALUE"""),"Malta")</f>
        <v>Malta</v>
      </c>
      <c r="M275" s="5" t="str">
        <f>IFERROR(__xludf.DUMMYFUNCTION("""COMPUTED_VALUE"""),"Europe &amp; Central Asia")</f>
        <v>Europe &amp; Central Asia</v>
      </c>
      <c r="N275" s="5" t="str">
        <f>IFERROR(__xludf.DUMMYFUNCTION("""COMPUTED_VALUE"""),"Western Europe and Others")</f>
        <v>Western Europe and Others</v>
      </c>
      <c r="O275" s="5" t="str">
        <f>IFERROR(__xludf.DUMMYFUNCTION("""COMPUTED_VALUE"""),"developed")</f>
        <v>developed</v>
      </c>
      <c r="P275" s="5"/>
      <c r="Q275" s="5"/>
    </row>
    <row r="276">
      <c r="A276" s="5" t="str">
        <f>IFERROR(__xludf.DUMMYFUNCTION("""COMPUTED_VALUE"""),"Outbound")</f>
        <v>Outbound</v>
      </c>
      <c r="B276" s="5">
        <f>IFERROR(__xludf.DUMMYFUNCTION("""COMPUTED_VALUE"""),771.0)</f>
        <v>771</v>
      </c>
      <c r="C276" s="5" t="str">
        <f>IFERROR(__xludf.DUMMYFUNCTION("""COMPUTED_VALUE"""),"GLORIOUS SEA")</f>
        <v>GLORIOUS SEA</v>
      </c>
      <c r="D276" s="5">
        <f>IFERROR(__xludf.DUMMYFUNCTION("""COMPUTED_VALUE"""),9370977.0)</f>
        <v>9370977</v>
      </c>
      <c r="E276" s="5" t="str">
        <f>IFERROR(__xludf.DUMMYFUNCTION("""COMPUTED_VALUE"""),"Odesa")</f>
        <v>Odesa</v>
      </c>
      <c r="F276" s="5" t="str">
        <f>IFERROR(__xludf.DUMMYFUNCTION("""COMPUTED_VALUE"""),"Tunisia")</f>
        <v>Tunisia</v>
      </c>
      <c r="G276" s="5" t="str">
        <f>IFERROR(__xludf.DUMMYFUNCTION("""COMPUTED_VALUE"""),"Corn")</f>
        <v>Corn</v>
      </c>
      <c r="H276" s="6">
        <f>IFERROR(__xludf.DUMMYFUNCTION("""COMPUTED_VALUE"""),23500.0)</f>
        <v>23500</v>
      </c>
      <c r="I276" s="7">
        <f>IFERROR(__xludf.DUMMYFUNCTION("""COMPUTED_VALUE"""),44984.0)</f>
        <v>44984</v>
      </c>
      <c r="J276" s="7">
        <f>IFERROR(__xludf.DUMMYFUNCTION("""COMPUTED_VALUE"""),44994.0)</f>
        <v>44994</v>
      </c>
      <c r="K276" s="5" t="str">
        <f>IFERROR(__xludf.DUMMYFUNCTION("""COMPUTED_VALUE"""),"lower-middle income")</f>
        <v>lower-middle income</v>
      </c>
      <c r="L276" s="5" t="str">
        <f>IFERROR(__xludf.DUMMYFUNCTION("""COMPUTED_VALUE"""),"Barbados")</f>
        <v>Barbados</v>
      </c>
      <c r="M276" s="5" t="str">
        <f>IFERROR(__xludf.DUMMYFUNCTION("""COMPUTED_VALUE"""),"Middle East &amp; North Africa")</f>
        <v>Middle East &amp; North Africa</v>
      </c>
      <c r="N276" s="5" t="str">
        <f>IFERROR(__xludf.DUMMYFUNCTION("""COMPUTED_VALUE"""),"Africa")</f>
        <v>Africa</v>
      </c>
      <c r="O276" s="5" t="str">
        <f>IFERROR(__xludf.DUMMYFUNCTION("""COMPUTED_VALUE"""),"developing")</f>
        <v>developing</v>
      </c>
      <c r="P276" s="5"/>
      <c r="Q276" s="5"/>
    </row>
    <row r="277">
      <c r="A277" s="5" t="str">
        <f>IFERROR(__xludf.DUMMYFUNCTION("""COMPUTED_VALUE"""),"Outbound")</f>
        <v>Outbound</v>
      </c>
      <c r="B277" s="5">
        <f>IFERROR(__xludf.DUMMYFUNCTION("""COMPUTED_VALUE"""),770.0)</f>
        <v>770</v>
      </c>
      <c r="C277" s="5" t="str">
        <f>IFERROR(__xludf.DUMMYFUNCTION("""COMPUTED_VALUE"""),"ASKIO")</f>
        <v>ASKIO</v>
      </c>
      <c r="D277" s="5">
        <f>IFERROR(__xludf.DUMMYFUNCTION("""COMPUTED_VALUE"""),9848649.0)</f>
        <v>9848649</v>
      </c>
      <c r="E277" s="5" t="str">
        <f>IFERROR(__xludf.DUMMYFUNCTION("""COMPUTED_VALUE"""),"Odesa")</f>
        <v>Odesa</v>
      </c>
      <c r="F277" s="5" t="str">
        <f>IFERROR(__xludf.DUMMYFUNCTION("""COMPUTED_VALUE"""),"Japan")</f>
        <v>Japan</v>
      </c>
      <c r="G277" s="5" t="str">
        <f>IFERROR(__xludf.DUMMYFUNCTION("""COMPUTED_VALUE"""),"Corn")</f>
        <v>Corn</v>
      </c>
      <c r="H277" s="6">
        <f>IFERROR(__xludf.DUMMYFUNCTION("""COMPUTED_VALUE"""),56000.0)</f>
        <v>56000</v>
      </c>
      <c r="I277" s="7">
        <f>IFERROR(__xludf.DUMMYFUNCTION("""COMPUTED_VALUE"""),44984.0)</f>
        <v>44984</v>
      </c>
      <c r="J277" s="7">
        <f>IFERROR(__xludf.DUMMYFUNCTION("""COMPUTED_VALUE"""),44993.0)</f>
        <v>44993</v>
      </c>
      <c r="K277" s="5" t="str">
        <f>IFERROR(__xludf.DUMMYFUNCTION("""COMPUTED_VALUE"""),"high-income")</f>
        <v>high-income</v>
      </c>
      <c r="L277" s="5" t="str">
        <f>IFERROR(__xludf.DUMMYFUNCTION("""COMPUTED_VALUE"""),"Barbados")</f>
        <v>Barbados</v>
      </c>
      <c r="M277" s="5" t="str">
        <f>IFERROR(__xludf.DUMMYFUNCTION("""COMPUTED_VALUE"""),"East Asia &amp; Pacific")</f>
        <v>East Asia &amp; Pacific</v>
      </c>
      <c r="N277" s="5" t="str">
        <f>IFERROR(__xludf.DUMMYFUNCTION("""COMPUTED_VALUE"""),"Asia-Pacific")</f>
        <v>Asia-Pacific</v>
      </c>
      <c r="O277" s="5" t="str">
        <f>IFERROR(__xludf.DUMMYFUNCTION("""COMPUTED_VALUE"""),"developed")</f>
        <v>developed</v>
      </c>
      <c r="P277" s="5"/>
      <c r="Q277" s="5"/>
    </row>
    <row r="278">
      <c r="A278" s="5" t="str">
        <f>IFERROR(__xludf.DUMMYFUNCTION("""COMPUTED_VALUE"""),"Outbound")</f>
        <v>Outbound</v>
      </c>
      <c r="B278" s="5">
        <f>IFERROR(__xludf.DUMMYFUNCTION("""COMPUTED_VALUE"""),769.0)</f>
        <v>769</v>
      </c>
      <c r="C278" s="5" t="str">
        <f>IFERROR(__xludf.DUMMYFUNCTION("""COMPUTED_VALUE"""),"YASA EMIRHAN")</f>
        <v>YASA EMIRHAN</v>
      </c>
      <c r="D278" s="5">
        <f>IFERROR(__xludf.DUMMYFUNCTION("""COMPUTED_VALUE"""),9454503.0)</f>
        <v>9454503</v>
      </c>
      <c r="E278" s="5" t="str">
        <f>IFERROR(__xludf.DUMMYFUNCTION("""COMPUTED_VALUE"""),"Yuzhny/Pivdennyi")</f>
        <v>Yuzhny/Pivdennyi</v>
      </c>
      <c r="F278" s="5" t="str">
        <f>IFERROR(__xludf.DUMMYFUNCTION("""COMPUTED_VALUE"""),"The Netherlands")</f>
        <v>The Netherlands</v>
      </c>
      <c r="G278" s="5" t="str">
        <f>IFERROR(__xludf.DUMMYFUNCTION("""COMPUTED_VALUE"""),"Corn")</f>
        <v>Corn</v>
      </c>
      <c r="H278" s="6">
        <f>IFERROR(__xludf.DUMMYFUNCTION("""COMPUTED_VALUE"""),51500.0)</f>
        <v>51500</v>
      </c>
      <c r="I278" s="7">
        <f>IFERROR(__xludf.DUMMYFUNCTION("""COMPUTED_VALUE"""),44983.0)</f>
        <v>44983</v>
      </c>
      <c r="J278" s="7">
        <f>IFERROR(__xludf.DUMMYFUNCTION("""COMPUTED_VALUE"""),44994.0)</f>
        <v>44994</v>
      </c>
      <c r="K278" s="5" t="str">
        <f>IFERROR(__xludf.DUMMYFUNCTION("""COMPUTED_VALUE"""),"high-income")</f>
        <v>high-income</v>
      </c>
      <c r="L278" s="5" t="str">
        <f>IFERROR(__xludf.DUMMYFUNCTION("""COMPUTED_VALUE"""),"Marshall Islands")</f>
        <v>Marshall Islands</v>
      </c>
      <c r="M278" s="5" t="str">
        <f>IFERROR(__xludf.DUMMYFUNCTION("""COMPUTED_VALUE"""),"Europe &amp; Central Asia")</f>
        <v>Europe &amp; Central Asia</v>
      </c>
      <c r="N278" s="5" t="str">
        <f>IFERROR(__xludf.DUMMYFUNCTION("""COMPUTED_VALUE"""),"Western Europe and Others")</f>
        <v>Western Europe and Others</v>
      </c>
      <c r="O278" s="5" t="str">
        <f>IFERROR(__xludf.DUMMYFUNCTION("""COMPUTED_VALUE"""),"developed")</f>
        <v>developed</v>
      </c>
      <c r="P278" s="5"/>
      <c r="Q278" s="5"/>
    </row>
    <row r="279">
      <c r="A279" s="5" t="str">
        <f>IFERROR(__xludf.DUMMYFUNCTION("""COMPUTED_VALUE"""),"Outbound")</f>
        <v>Outbound</v>
      </c>
      <c r="B279" s="5">
        <f>IFERROR(__xludf.DUMMYFUNCTION("""COMPUTED_VALUE"""),768.0)</f>
        <v>768</v>
      </c>
      <c r="C279" s="5" t="str">
        <f>IFERROR(__xludf.DUMMYFUNCTION("""COMPUTED_VALUE"""),"AMBER S")</f>
        <v>AMBER S</v>
      </c>
      <c r="D279" s="5">
        <f>IFERROR(__xludf.DUMMYFUNCTION("""COMPUTED_VALUE"""),9200354.0)</f>
        <v>9200354</v>
      </c>
      <c r="E279" s="5" t="str">
        <f>IFERROR(__xludf.DUMMYFUNCTION("""COMPUTED_VALUE"""),"Chornomorsk")</f>
        <v>Chornomorsk</v>
      </c>
      <c r="F279" s="5" t="str">
        <f>IFERROR(__xludf.DUMMYFUNCTION("""COMPUTED_VALUE"""),"Spain")</f>
        <v>Spain</v>
      </c>
      <c r="G279" s="5" t="str">
        <f>IFERROR(__xludf.DUMMYFUNCTION("""COMPUTED_VALUE"""),"Corn")</f>
        <v>Corn</v>
      </c>
      <c r="H279" s="6">
        <f>IFERROR(__xludf.DUMMYFUNCTION("""COMPUTED_VALUE"""),43226.0)</f>
        <v>43226</v>
      </c>
      <c r="I279" s="7">
        <f>IFERROR(__xludf.DUMMYFUNCTION("""COMPUTED_VALUE"""),44983.0)</f>
        <v>44983</v>
      </c>
      <c r="J279" s="7">
        <f>IFERROR(__xludf.DUMMYFUNCTION("""COMPUTED_VALUE"""),44993.0)</f>
        <v>44993</v>
      </c>
      <c r="K279" s="5" t="str">
        <f>IFERROR(__xludf.DUMMYFUNCTION("""COMPUTED_VALUE"""),"high-income")</f>
        <v>high-income</v>
      </c>
      <c r="L279" s="5" t="str">
        <f>IFERROR(__xludf.DUMMYFUNCTION("""COMPUTED_VALUE"""),"Liberia")</f>
        <v>Liberia</v>
      </c>
      <c r="M279" s="5" t="str">
        <f>IFERROR(__xludf.DUMMYFUNCTION("""COMPUTED_VALUE"""),"Europe &amp; Central Asia")</f>
        <v>Europe &amp; Central Asia</v>
      </c>
      <c r="N279" s="5" t="str">
        <f>IFERROR(__xludf.DUMMYFUNCTION("""COMPUTED_VALUE"""),"Western Europe and Others")</f>
        <v>Western Europe and Others</v>
      </c>
      <c r="O279" s="5" t="str">
        <f>IFERROR(__xludf.DUMMYFUNCTION("""COMPUTED_VALUE"""),"developed")</f>
        <v>developed</v>
      </c>
      <c r="P279" s="5"/>
      <c r="Q279" s="5"/>
    </row>
    <row r="280">
      <c r="A280" s="5" t="str">
        <f>IFERROR(__xludf.DUMMYFUNCTION("""COMPUTED_VALUE"""),"Outbound")</f>
        <v>Outbound</v>
      </c>
      <c r="B280" s="5">
        <f>IFERROR(__xludf.DUMMYFUNCTION("""COMPUTED_VALUE"""),767.0)</f>
        <v>767</v>
      </c>
      <c r="C280" s="5" t="str">
        <f>IFERROR(__xludf.DUMMYFUNCTION("""COMPUTED_VALUE"""),"LADY AYANA")</f>
        <v>LADY AYANA</v>
      </c>
      <c r="D280" s="5">
        <f>IFERROR(__xludf.DUMMYFUNCTION("""COMPUTED_VALUE"""),9196395.0)</f>
        <v>9196395</v>
      </c>
      <c r="E280" s="5" t="str">
        <f>IFERROR(__xludf.DUMMYFUNCTION("""COMPUTED_VALUE"""),"Odesa")</f>
        <v>Odesa</v>
      </c>
      <c r="F280" s="5" t="str">
        <f>IFERROR(__xludf.DUMMYFUNCTION("""COMPUTED_VALUE"""),"Egypt")</f>
        <v>Egypt</v>
      </c>
      <c r="G280" s="5" t="str">
        <f>IFERROR(__xludf.DUMMYFUNCTION("""COMPUTED_VALUE"""),"Corn")</f>
        <v>Corn</v>
      </c>
      <c r="H280" s="6">
        <f>IFERROR(__xludf.DUMMYFUNCTION("""COMPUTED_VALUE"""),14068.0)</f>
        <v>14068</v>
      </c>
      <c r="I280" s="7">
        <f>IFERROR(__xludf.DUMMYFUNCTION("""COMPUTED_VALUE"""),44982.0)</f>
        <v>44982</v>
      </c>
      <c r="J280" s="7">
        <f>IFERROR(__xludf.DUMMYFUNCTION("""COMPUTED_VALUE"""),44992.0)</f>
        <v>44992</v>
      </c>
      <c r="K280" s="5" t="str">
        <f>IFERROR(__xludf.DUMMYFUNCTION("""COMPUTED_VALUE"""),"lower-middle income")</f>
        <v>lower-middle income</v>
      </c>
      <c r="L280" s="5" t="str">
        <f>IFERROR(__xludf.DUMMYFUNCTION("""COMPUTED_VALUE"""),"Barbados")</f>
        <v>Barbados</v>
      </c>
      <c r="M280" s="5" t="str">
        <f>IFERROR(__xludf.DUMMYFUNCTION("""COMPUTED_VALUE"""),"Middle East &amp; North Africa")</f>
        <v>Middle East &amp; North Africa</v>
      </c>
      <c r="N280" s="5" t="str">
        <f>IFERROR(__xludf.DUMMYFUNCTION("""COMPUTED_VALUE"""),"Africa")</f>
        <v>Africa</v>
      </c>
      <c r="O280" s="5" t="str">
        <f>IFERROR(__xludf.DUMMYFUNCTION("""COMPUTED_VALUE"""),"developing")</f>
        <v>developing</v>
      </c>
      <c r="P280" s="5"/>
      <c r="Q280" s="5"/>
    </row>
    <row r="281">
      <c r="A281" s="5" t="str">
        <f>IFERROR(__xludf.DUMMYFUNCTION("""COMPUTED_VALUE"""),"Outbound +")</f>
        <v>Outbound +</v>
      </c>
      <c r="B281" s="5">
        <f>IFERROR(__xludf.DUMMYFUNCTION("""COMPUTED_VALUE"""),767.0)</f>
        <v>767</v>
      </c>
      <c r="C281" s="5" t="str">
        <f>IFERROR(__xludf.DUMMYFUNCTION("""COMPUTED_VALUE"""),"LADY AYANA")</f>
        <v>LADY AYANA</v>
      </c>
      <c r="D281" s="5">
        <f>IFERROR(__xludf.DUMMYFUNCTION("""COMPUTED_VALUE"""),9196395.0)</f>
        <v>9196395</v>
      </c>
      <c r="E281" s="5" t="str">
        <f>IFERROR(__xludf.DUMMYFUNCTION("""COMPUTED_VALUE"""),"Odesa")</f>
        <v>Odesa</v>
      </c>
      <c r="F281" s="5" t="str">
        <f>IFERROR(__xludf.DUMMYFUNCTION("""COMPUTED_VALUE"""),"Egypt")</f>
        <v>Egypt</v>
      </c>
      <c r="G281" s="5" t="str">
        <f>IFERROR(__xludf.DUMMYFUNCTION("""COMPUTED_VALUE"""),"Soya beans")</f>
        <v>Soya beans</v>
      </c>
      <c r="H281" s="6">
        <f>IFERROR(__xludf.DUMMYFUNCTION("""COMPUTED_VALUE"""),11939.0)</f>
        <v>11939</v>
      </c>
      <c r="I281" s="7">
        <f>IFERROR(__xludf.DUMMYFUNCTION("""COMPUTED_VALUE"""),44982.0)</f>
        <v>44982</v>
      </c>
      <c r="J281" s="7">
        <f>IFERROR(__xludf.DUMMYFUNCTION("""COMPUTED_VALUE"""),44992.0)</f>
        <v>44992</v>
      </c>
      <c r="K281" s="5" t="str">
        <f>IFERROR(__xludf.DUMMYFUNCTION("""COMPUTED_VALUE"""),"lower-middle income")</f>
        <v>lower-middle income</v>
      </c>
      <c r="L281" s="5" t="str">
        <f>IFERROR(__xludf.DUMMYFUNCTION("""COMPUTED_VALUE"""),"Barbados")</f>
        <v>Barbados</v>
      </c>
      <c r="M281" s="5" t="str">
        <f>IFERROR(__xludf.DUMMYFUNCTION("""COMPUTED_VALUE"""),"Middle East &amp; North Africa")</f>
        <v>Middle East &amp; North Africa</v>
      </c>
      <c r="N281" s="5" t="str">
        <f>IFERROR(__xludf.DUMMYFUNCTION("""COMPUTED_VALUE"""),"Africa")</f>
        <v>Africa</v>
      </c>
      <c r="O281" s="5" t="str">
        <f>IFERROR(__xludf.DUMMYFUNCTION("""COMPUTED_VALUE"""),"developing")</f>
        <v>developing</v>
      </c>
      <c r="P281" s="5"/>
      <c r="Q281" s="5"/>
    </row>
    <row r="282">
      <c r="A282" s="5" t="str">
        <f>IFERROR(__xludf.DUMMYFUNCTION("""COMPUTED_VALUE"""),"Outbound")</f>
        <v>Outbound</v>
      </c>
      <c r="B282" s="5">
        <f>IFERROR(__xludf.DUMMYFUNCTION("""COMPUTED_VALUE"""),766.0)</f>
        <v>766</v>
      </c>
      <c r="C282" s="5" t="str">
        <f>IFERROR(__xludf.DUMMYFUNCTION("""COMPUTED_VALUE"""),"EAGLE TRADER")</f>
        <v>EAGLE TRADER</v>
      </c>
      <c r="D282" s="5">
        <f>IFERROR(__xludf.DUMMYFUNCTION("""COMPUTED_VALUE"""),9284362.0)</f>
        <v>9284362</v>
      </c>
      <c r="E282" s="5" t="str">
        <f>IFERROR(__xludf.DUMMYFUNCTION("""COMPUTED_VALUE"""),"Odesa")</f>
        <v>Odesa</v>
      </c>
      <c r="F282" s="5" t="str">
        <f>IFERROR(__xludf.DUMMYFUNCTION("""COMPUTED_VALUE"""),"France")</f>
        <v>France</v>
      </c>
      <c r="G282" s="5" t="str">
        <f>IFERROR(__xludf.DUMMYFUNCTION("""COMPUTED_VALUE"""),"Sunflower meal")</f>
        <v>Sunflower meal</v>
      </c>
      <c r="H282" s="6">
        <f>IFERROR(__xludf.DUMMYFUNCTION("""COMPUTED_VALUE"""),20200.0)</f>
        <v>20200</v>
      </c>
      <c r="I282" s="7">
        <f>IFERROR(__xludf.DUMMYFUNCTION("""COMPUTED_VALUE"""),44982.0)</f>
        <v>44982</v>
      </c>
      <c r="J282" s="7">
        <f>IFERROR(__xludf.DUMMYFUNCTION("""COMPUTED_VALUE"""),44992.0)</f>
        <v>44992</v>
      </c>
      <c r="K282" s="5" t="str">
        <f>IFERROR(__xludf.DUMMYFUNCTION("""COMPUTED_VALUE"""),"high-income")</f>
        <v>high-income</v>
      </c>
      <c r="L282" s="5" t="str">
        <f>IFERROR(__xludf.DUMMYFUNCTION("""COMPUTED_VALUE"""),"Barbados")</f>
        <v>Barbados</v>
      </c>
      <c r="M282" s="5" t="str">
        <f>IFERROR(__xludf.DUMMYFUNCTION("""COMPUTED_VALUE"""),"Europe &amp; Central Asia")</f>
        <v>Europe &amp; Central Asia</v>
      </c>
      <c r="N282" s="5" t="str">
        <f>IFERROR(__xludf.DUMMYFUNCTION("""COMPUTED_VALUE"""),"Western Europe and Others")</f>
        <v>Western Europe and Others</v>
      </c>
      <c r="O282" s="5" t="str">
        <f>IFERROR(__xludf.DUMMYFUNCTION("""COMPUTED_VALUE"""),"developed")</f>
        <v>developed</v>
      </c>
      <c r="P282" s="5"/>
      <c r="Q282" s="5"/>
    </row>
    <row r="283">
      <c r="A283" s="5" t="str">
        <f>IFERROR(__xludf.DUMMYFUNCTION("""COMPUTED_VALUE"""),"Outbound")</f>
        <v>Outbound</v>
      </c>
      <c r="B283" s="5">
        <f>IFERROR(__xludf.DUMMYFUNCTION("""COMPUTED_VALUE"""),765.0)</f>
        <v>765</v>
      </c>
      <c r="C283" s="5" t="str">
        <f>IFERROR(__xludf.DUMMYFUNCTION("""COMPUTED_VALUE"""),"AK HALIMA")</f>
        <v>AK HALIMA</v>
      </c>
      <c r="D283" s="5">
        <f>IFERROR(__xludf.DUMMYFUNCTION("""COMPUTED_VALUE"""),9217826.0)</f>
        <v>9217826</v>
      </c>
      <c r="E283" s="5" t="str">
        <f>IFERROR(__xludf.DUMMYFUNCTION("""COMPUTED_VALUE"""),"Chornomorsk")</f>
        <v>Chornomorsk</v>
      </c>
      <c r="F283" s="5" t="str">
        <f>IFERROR(__xludf.DUMMYFUNCTION("""COMPUTED_VALUE"""),"Italy")</f>
        <v>Italy</v>
      </c>
      <c r="G283" s="5" t="str">
        <f>IFERROR(__xludf.DUMMYFUNCTION("""COMPUTED_VALUE"""),"Wheat")</f>
        <v>Wheat</v>
      </c>
      <c r="H283" s="6">
        <f>IFERROR(__xludf.DUMMYFUNCTION("""COMPUTED_VALUE"""),11209.0)</f>
        <v>11209</v>
      </c>
      <c r="I283" s="7">
        <f>IFERROR(__xludf.DUMMYFUNCTION("""COMPUTED_VALUE"""),44982.0)</f>
        <v>44982</v>
      </c>
      <c r="J283" s="7">
        <f>IFERROR(__xludf.DUMMYFUNCTION("""COMPUTED_VALUE"""),44992.0)</f>
        <v>44992</v>
      </c>
      <c r="K283" s="5" t="str">
        <f>IFERROR(__xludf.DUMMYFUNCTION("""COMPUTED_VALUE"""),"high-income")</f>
        <v>high-income</v>
      </c>
      <c r="L283" s="5" t="str">
        <f>IFERROR(__xludf.DUMMYFUNCTION("""COMPUTED_VALUE"""),"Barbados")</f>
        <v>Barbados</v>
      </c>
      <c r="M283" s="5" t="str">
        <f>IFERROR(__xludf.DUMMYFUNCTION("""COMPUTED_VALUE"""),"Europe &amp; Central Asia")</f>
        <v>Europe &amp; Central Asia</v>
      </c>
      <c r="N283" s="5" t="str">
        <f>IFERROR(__xludf.DUMMYFUNCTION("""COMPUTED_VALUE"""),"Western Europe and Others")</f>
        <v>Western Europe and Others</v>
      </c>
      <c r="O283" s="5" t="str">
        <f>IFERROR(__xludf.DUMMYFUNCTION("""COMPUTED_VALUE"""),"developed")</f>
        <v>developed</v>
      </c>
      <c r="P283" s="5"/>
      <c r="Q283" s="5"/>
    </row>
    <row r="284">
      <c r="A284" s="5" t="str">
        <f>IFERROR(__xludf.DUMMYFUNCTION("""COMPUTED_VALUE"""),"Outbound +")</f>
        <v>Outbound +</v>
      </c>
      <c r="B284" s="5">
        <f>IFERROR(__xludf.DUMMYFUNCTION("""COMPUTED_VALUE"""),765.0)</f>
        <v>765</v>
      </c>
      <c r="C284" s="5" t="str">
        <f>IFERROR(__xludf.DUMMYFUNCTION("""COMPUTED_VALUE"""),"AK HALIMA")</f>
        <v>AK HALIMA</v>
      </c>
      <c r="D284" s="5">
        <f>IFERROR(__xludf.DUMMYFUNCTION("""COMPUTED_VALUE"""),9217826.0)</f>
        <v>9217826</v>
      </c>
      <c r="E284" s="5" t="str">
        <f>IFERROR(__xludf.DUMMYFUNCTION("""COMPUTED_VALUE"""),"Chornomorsk")</f>
        <v>Chornomorsk</v>
      </c>
      <c r="F284" s="5" t="str">
        <f>IFERROR(__xludf.DUMMYFUNCTION("""COMPUTED_VALUE"""),"Italy")</f>
        <v>Italy</v>
      </c>
      <c r="G284" s="5" t="str">
        <f>IFERROR(__xludf.DUMMYFUNCTION("""COMPUTED_VALUE"""),"Corn")</f>
        <v>Corn</v>
      </c>
      <c r="H284" s="6">
        <f>IFERROR(__xludf.DUMMYFUNCTION("""COMPUTED_VALUE"""),11755.0)</f>
        <v>11755</v>
      </c>
      <c r="I284" s="7">
        <f>IFERROR(__xludf.DUMMYFUNCTION("""COMPUTED_VALUE"""),44982.0)</f>
        <v>44982</v>
      </c>
      <c r="J284" s="7">
        <f>IFERROR(__xludf.DUMMYFUNCTION("""COMPUTED_VALUE"""),44992.0)</f>
        <v>44992</v>
      </c>
      <c r="K284" s="5" t="str">
        <f>IFERROR(__xludf.DUMMYFUNCTION("""COMPUTED_VALUE"""),"high-income")</f>
        <v>high-income</v>
      </c>
      <c r="L284" s="5" t="str">
        <f>IFERROR(__xludf.DUMMYFUNCTION("""COMPUTED_VALUE"""),"Barbados")</f>
        <v>Barbados</v>
      </c>
      <c r="M284" s="5" t="str">
        <f>IFERROR(__xludf.DUMMYFUNCTION("""COMPUTED_VALUE"""),"Europe &amp; Central Asia")</f>
        <v>Europe &amp; Central Asia</v>
      </c>
      <c r="N284" s="5" t="str">
        <f>IFERROR(__xludf.DUMMYFUNCTION("""COMPUTED_VALUE"""),"Western Europe and Others")</f>
        <v>Western Europe and Others</v>
      </c>
      <c r="O284" s="5" t="str">
        <f>IFERROR(__xludf.DUMMYFUNCTION("""COMPUTED_VALUE"""),"developed")</f>
        <v>developed</v>
      </c>
      <c r="P284" s="5"/>
      <c r="Q284" s="5"/>
    </row>
    <row r="285">
      <c r="A285" s="5" t="str">
        <f>IFERROR(__xludf.DUMMYFUNCTION("""COMPUTED_VALUE"""),"Outbound")</f>
        <v>Outbound</v>
      </c>
      <c r="B285" s="5">
        <f>IFERROR(__xludf.DUMMYFUNCTION("""COMPUTED_VALUE"""),764.0)</f>
        <v>764</v>
      </c>
      <c r="C285" s="5" t="str">
        <f>IFERROR(__xludf.DUMMYFUNCTION("""COMPUTED_VALUE"""),"MAVKA")</f>
        <v>MAVKA</v>
      </c>
      <c r="D285" s="5">
        <f>IFERROR(__xludf.DUMMYFUNCTION("""COMPUTED_VALUE"""),9284647.0)</f>
        <v>9284647</v>
      </c>
      <c r="E285" s="5" t="str">
        <f>IFERROR(__xludf.DUMMYFUNCTION("""COMPUTED_VALUE"""),"Chornomorsk")</f>
        <v>Chornomorsk</v>
      </c>
      <c r="F285" s="5" t="str">
        <f>IFERROR(__xludf.DUMMYFUNCTION("""COMPUTED_VALUE"""),"Romania")</f>
        <v>Romania</v>
      </c>
      <c r="G285" s="5" t="str">
        <f>IFERROR(__xludf.DUMMYFUNCTION("""COMPUTED_VALUE"""),"Sunflower oil")</f>
        <v>Sunflower oil</v>
      </c>
      <c r="H285" s="6">
        <f>IFERROR(__xludf.DUMMYFUNCTION("""COMPUTED_VALUE"""),12500.0)</f>
        <v>12500</v>
      </c>
      <c r="I285" s="7">
        <f>IFERROR(__xludf.DUMMYFUNCTION("""COMPUTED_VALUE"""),44981.0)</f>
        <v>44981</v>
      </c>
      <c r="J285" s="7">
        <f>IFERROR(__xludf.DUMMYFUNCTION("""COMPUTED_VALUE"""),44992.0)</f>
        <v>44992</v>
      </c>
      <c r="K285" s="5" t="str">
        <f>IFERROR(__xludf.DUMMYFUNCTION("""COMPUTED_VALUE"""),"high-income")</f>
        <v>high-income</v>
      </c>
      <c r="L285" s="5" t="str">
        <f>IFERROR(__xludf.DUMMYFUNCTION("""COMPUTED_VALUE"""),"Panama")</f>
        <v>Panama</v>
      </c>
      <c r="M285" s="5" t="str">
        <f>IFERROR(__xludf.DUMMYFUNCTION("""COMPUTED_VALUE"""),"Europe &amp; Central Asia")</f>
        <v>Europe &amp; Central Asia</v>
      </c>
      <c r="N285" s="5" t="str">
        <f>IFERROR(__xludf.DUMMYFUNCTION("""COMPUTED_VALUE"""),"Eastern Europe")</f>
        <v>Eastern Europe</v>
      </c>
      <c r="O285" s="5" t="str">
        <f>IFERROR(__xludf.DUMMYFUNCTION("""COMPUTED_VALUE"""),"developed")</f>
        <v>developed</v>
      </c>
      <c r="P285" s="5"/>
      <c r="Q285" s="5"/>
    </row>
    <row r="286">
      <c r="A286" s="5" t="str">
        <f>IFERROR(__xludf.DUMMYFUNCTION("""COMPUTED_VALUE"""),"Outbound")</f>
        <v>Outbound</v>
      </c>
      <c r="B286" s="5">
        <f>IFERROR(__xludf.DUMMYFUNCTION("""COMPUTED_VALUE"""),763.0)</f>
        <v>763</v>
      </c>
      <c r="C286" s="5" t="str">
        <f>IFERROR(__xludf.DUMMYFUNCTION("""COMPUTED_VALUE"""),"PUNKT")</f>
        <v>PUNKT</v>
      </c>
      <c r="D286" s="5">
        <f>IFERROR(__xludf.DUMMYFUNCTION("""COMPUTED_VALUE"""),9296327.0)</f>
        <v>9296327</v>
      </c>
      <c r="E286" s="5" t="str">
        <f>IFERROR(__xludf.DUMMYFUNCTION("""COMPUTED_VALUE"""),"Yuzhny/Pivdennyi")</f>
        <v>Yuzhny/Pivdennyi</v>
      </c>
      <c r="F286" s="5" t="str">
        <f>IFERROR(__xludf.DUMMYFUNCTION("""COMPUTED_VALUE"""),"Italy")</f>
        <v>Italy</v>
      </c>
      <c r="G286" s="5" t="str">
        <f>IFERROR(__xludf.DUMMYFUNCTION("""COMPUTED_VALUE"""),"Corn")</f>
        <v>Corn</v>
      </c>
      <c r="H286" s="6">
        <f>IFERROR(__xludf.DUMMYFUNCTION("""COMPUTED_VALUE"""),27600.0)</f>
        <v>27600</v>
      </c>
      <c r="I286" s="7">
        <f>IFERROR(__xludf.DUMMYFUNCTION("""COMPUTED_VALUE"""),44980.0)</f>
        <v>44980</v>
      </c>
      <c r="J286" s="7">
        <f>IFERROR(__xludf.DUMMYFUNCTION("""COMPUTED_VALUE"""),44991.0)</f>
        <v>44991</v>
      </c>
      <c r="K286" s="5" t="str">
        <f>IFERROR(__xludf.DUMMYFUNCTION("""COMPUTED_VALUE"""),"high-income")</f>
        <v>high-income</v>
      </c>
      <c r="L286" s="5" t="str">
        <f>IFERROR(__xludf.DUMMYFUNCTION("""COMPUTED_VALUE"""),"Malta")</f>
        <v>Malta</v>
      </c>
      <c r="M286" s="5" t="str">
        <f>IFERROR(__xludf.DUMMYFUNCTION("""COMPUTED_VALUE"""),"Europe &amp; Central Asia")</f>
        <v>Europe &amp; Central Asia</v>
      </c>
      <c r="N286" s="5" t="str">
        <f>IFERROR(__xludf.DUMMYFUNCTION("""COMPUTED_VALUE"""),"Western Europe and Others")</f>
        <v>Western Europe and Others</v>
      </c>
      <c r="O286" s="5" t="str">
        <f>IFERROR(__xludf.DUMMYFUNCTION("""COMPUTED_VALUE"""),"developed")</f>
        <v>developed</v>
      </c>
      <c r="P286" s="5"/>
      <c r="Q286" s="5"/>
    </row>
    <row r="287">
      <c r="A287" s="5" t="str">
        <f>IFERROR(__xludf.DUMMYFUNCTION("""COMPUTED_VALUE"""),"Outbound")</f>
        <v>Outbound</v>
      </c>
      <c r="B287" s="5">
        <f>IFERROR(__xludf.DUMMYFUNCTION("""COMPUTED_VALUE"""),762.0)</f>
        <v>762</v>
      </c>
      <c r="C287" s="5" t="str">
        <f>IFERROR(__xludf.DUMMYFUNCTION("""COMPUTED_VALUE"""),"PUMA MAX")</f>
        <v>PUMA MAX</v>
      </c>
      <c r="D287" s="5">
        <f>IFERROR(__xludf.DUMMYFUNCTION("""COMPUTED_VALUE"""),9589152.0)</f>
        <v>9589152</v>
      </c>
      <c r="E287" s="5" t="str">
        <f>IFERROR(__xludf.DUMMYFUNCTION("""COMPUTED_VALUE"""),"Yuzhny/Pivdennyi")</f>
        <v>Yuzhny/Pivdennyi</v>
      </c>
      <c r="F287" s="5" t="str">
        <f>IFERROR(__xludf.DUMMYFUNCTION("""COMPUTED_VALUE"""),"Portugal")</f>
        <v>Portugal</v>
      </c>
      <c r="G287" s="5" t="str">
        <f>IFERROR(__xludf.DUMMYFUNCTION("""COMPUTED_VALUE"""),"Corn")</f>
        <v>Corn</v>
      </c>
      <c r="H287" s="6">
        <f>IFERROR(__xludf.DUMMYFUNCTION("""COMPUTED_VALUE"""),69295.0)</f>
        <v>69295</v>
      </c>
      <c r="I287" s="7">
        <f>IFERROR(__xludf.DUMMYFUNCTION("""COMPUTED_VALUE"""),44980.0)</f>
        <v>44980</v>
      </c>
      <c r="J287" s="7">
        <f>IFERROR(__xludf.DUMMYFUNCTION("""COMPUTED_VALUE"""),44990.0)</f>
        <v>44990</v>
      </c>
      <c r="K287" s="5" t="str">
        <f>IFERROR(__xludf.DUMMYFUNCTION("""COMPUTED_VALUE"""),"high-income")</f>
        <v>high-income</v>
      </c>
      <c r="L287" s="5" t="str">
        <f>IFERROR(__xludf.DUMMYFUNCTION("""COMPUTED_VALUE"""),"Bahamas")</f>
        <v>Bahamas</v>
      </c>
      <c r="M287" s="5" t="str">
        <f>IFERROR(__xludf.DUMMYFUNCTION("""COMPUTED_VALUE"""),"Europe &amp; Central Asia")</f>
        <v>Europe &amp; Central Asia</v>
      </c>
      <c r="N287" s="5" t="str">
        <f>IFERROR(__xludf.DUMMYFUNCTION("""COMPUTED_VALUE"""),"Western Europe and Others")</f>
        <v>Western Europe and Others</v>
      </c>
      <c r="O287" s="5" t="str">
        <f>IFERROR(__xludf.DUMMYFUNCTION("""COMPUTED_VALUE"""),"developed")</f>
        <v>developed</v>
      </c>
      <c r="P287" s="5"/>
      <c r="Q287" s="5"/>
    </row>
    <row r="288">
      <c r="A288" s="5" t="str">
        <f>IFERROR(__xludf.DUMMYFUNCTION("""COMPUTED_VALUE"""),"Outbound")</f>
        <v>Outbound</v>
      </c>
      <c r="B288" s="5">
        <f>IFERROR(__xludf.DUMMYFUNCTION("""COMPUTED_VALUE"""),761.0)</f>
        <v>761</v>
      </c>
      <c r="C288" s="5" t="str">
        <f>IFERROR(__xludf.DUMMYFUNCTION("""COMPUTED_VALUE"""),"NEW AMBITION")</f>
        <v>NEW AMBITION</v>
      </c>
      <c r="D288" s="5">
        <f>IFERROR(__xludf.DUMMYFUNCTION("""COMPUTED_VALUE"""),9584592.0)</f>
        <v>9584592</v>
      </c>
      <c r="E288" s="5" t="str">
        <f>IFERROR(__xludf.DUMMYFUNCTION("""COMPUTED_VALUE"""),"Yuzhny/Pivdennyi")</f>
        <v>Yuzhny/Pivdennyi</v>
      </c>
      <c r="F288" s="5" t="str">
        <f>IFERROR(__xludf.DUMMYFUNCTION("""COMPUTED_VALUE"""),"China")</f>
        <v>China</v>
      </c>
      <c r="G288" s="5" t="str">
        <f>IFERROR(__xludf.DUMMYFUNCTION("""COMPUTED_VALUE"""),"Corn")</f>
        <v>Corn</v>
      </c>
      <c r="H288" s="6">
        <f>IFERROR(__xludf.DUMMYFUNCTION("""COMPUTED_VALUE"""),45000.0)</f>
        <v>45000</v>
      </c>
      <c r="I288" s="7">
        <f>IFERROR(__xludf.DUMMYFUNCTION("""COMPUTED_VALUE"""),44979.0)</f>
        <v>44979</v>
      </c>
      <c r="J288" s="7">
        <f>IFERROR(__xludf.DUMMYFUNCTION("""COMPUTED_VALUE"""),44991.0)</f>
        <v>44991</v>
      </c>
      <c r="K288" s="5" t="str">
        <f>IFERROR(__xludf.DUMMYFUNCTION("""COMPUTED_VALUE"""),"upper-middle-income")</f>
        <v>upper-middle-income</v>
      </c>
      <c r="L288" s="5" t="str">
        <f>IFERROR(__xludf.DUMMYFUNCTION("""COMPUTED_VALUE"""),"Panama")</f>
        <v>Panama</v>
      </c>
      <c r="M288" s="5" t="str">
        <f>IFERROR(__xludf.DUMMYFUNCTION("""COMPUTED_VALUE"""),"East Asia &amp; Pacific")</f>
        <v>East Asia &amp; Pacific</v>
      </c>
      <c r="N288" s="5" t="str">
        <f>IFERROR(__xludf.DUMMYFUNCTION("""COMPUTED_VALUE"""),"Asia-Pacific")</f>
        <v>Asia-Pacific</v>
      </c>
      <c r="O288" s="5" t="str">
        <f>IFERROR(__xludf.DUMMYFUNCTION("""COMPUTED_VALUE"""),"developing")</f>
        <v>developing</v>
      </c>
      <c r="P288" s="5"/>
      <c r="Q288" s="5"/>
    </row>
    <row r="289">
      <c r="A289" s="5" t="str">
        <f>IFERROR(__xludf.DUMMYFUNCTION("""COMPUTED_VALUE"""),"Outbound +")</f>
        <v>Outbound +</v>
      </c>
      <c r="B289" s="5">
        <f>IFERROR(__xludf.DUMMYFUNCTION("""COMPUTED_VALUE"""),761.0)</f>
        <v>761</v>
      </c>
      <c r="C289" s="5" t="str">
        <f>IFERROR(__xludf.DUMMYFUNCTION("""COMPUTED_VALUE"""),"NEW AMBITION")</f>
        <v>NEW AMBITION</v>
      </c>
      <c r="D289" s="5">
        <f>IFERROR(__xludf.DUMMYFUNCTION("""COMPUTED_VALUE"""),9584592.0)</f>
        <v>9584592</v>
      </c>
      <c r="E289" s="5" t="str">
        <f>IFERROR(__xludf.DUMMYFUNCTION("""COMPUTED_VALUE"""),"Yuzhny/Pivdennyi")</f>
        <v>Yuzhny/Pivdennyi</v>
      </c>
      <c r="F289" s="5" t="str">
        <f>IFERROR(__xludf.DUMMYFUNCTION("""COMPUTED_VALUE"""),"China")</f>
        <v>China</v>
      </c>
      <c r="G289" s="5" t="str">
        <f>IFERROR(__xludf.DUMMYFUNCTION("""COMPUTED_VALUE"""),"Sunflower meal")</f>
        <v>Sunflower meal</v>
      </c>
      <c r="H289" s="6">
        <f>IFERROR(__xludf.DUMMYFUNCTION("""COMPUTED_VALUE"""),20000.0)</f>
        <v>20000</v>
      </c>
      <c r="I289" s="7">
        <f>IFERROR(__xludf.DUMMYFUNCTION("""COMPUTED_VALUE"""),44979.0)</f>
        <v>44979</v>
      </c>
      <c r="J289" s="7">
        <f>IFERROR(__xludf.DUMMYFUNCTION("""COMPUTED_VALUE"""),44991.0)</f>
        <v>44991</v>
      </c>
      <c r="K289" s="5" t="str">
        <f>IFERROR(__xludf.DUMMYFUNCTION("""COMPUTED_VALUE"""),"upper-middle-income")</f>
        <v>upper-middle-income</v>
      </c>
      <c r="L289" s="5" t="str">
        <f>IFERROR(__xludf.DUMMYFUNCTION("""COMPUTED_VALUE"""),"Panama")</f>
        <v>Panama</v>
      </c>
      <c r="M289" s="5" t="str">
        <f>IFERROR(__xludf.DUMMYFUNCTION("""COMPUTED_VALUE"""),"East Asia &amp; Pacific")</f>
        <v>East Asia &amp; Pacific</v>
      </c>
      <c r="N289" s="5" t="str">
        <f>IFERROR(__xludf.DUMMYFUNCTION("""COMPUTED_VALUE"""),"Asia-Pacific")</f>
        <v>Asia-Pacific</v>
      </c>
      <c r="O289" s="5" t="str">
        <f>IFERROR(__xludf.DUMMYFUNCTION("""COMPUTED_VALUE"""),"developing")</f>
        <v>developing</v>
      </c>
      <c r="P289" s="5"/>
      <c r="Q289" s="5"/>
    </row>
    <row r="290">
      <c r="A290" s="5" t="str">
        <f>IFERROR(__xludf.DUMMYFUNCTION("""COMPUTED_VALUE"""),"Outbound")</f>
        <v>Outbound</v>
      </c>
      <c r="B290" s="5">
        <f>IFERROR(__xludf.DUMMYFUNCTION("""COMPUTED_VALUE"""),760.0)</f>
        <v>760</v>
      </c>
      <c r="C290" s="5" t="str">
        <f>IFERROR(__xludf.DUMMYFUNCTION("""COMPUTED_VALUE"""),"STAR NADZIYE")</f>
        <v>STAR NADZIYE</v>
      </c>
      <c r="D290" s="5">
        <f>IFERROR(__xludf.DUMMYFUNCTION("""COMPUTED_VALUE"""),9860025.0)</f>
        <v>9860025</v>
      </c>
      <c r="E290" s="5" t="str">
        <f>IFERROR(__xludf.DUMMYFUNCTION("""COMPUTED_VALUE"""),"Yuzhny/Pivdennyi")</f>
        <v>Yuzhny/Pivdennyi</v>
      </c>
      <c r="F290" s="5" t="str">
        <f>IFERROR(__xludf.DUMMYFUNCTION("""COMPUTED_VALUE"""),"China")</f>
        <v>China</v>
      </c>
      <c r="G290" s="5" t="str">
        <f>IFERROR(__xludf.DUMMYFUNCTION("""COMPUTED_VALUE"""),"Corn")</f>
        <v>Corn</v>
      </c>
      <c r="H290" s="6">
        <f>IFERROR(__xludf.DUMMYFUNCTION("""COMPUTED_VALUE"""),71090.0)</f>
        <v>71090</v>
      </c>
      <c r="I290" s="7">
        <f>IFERROR(__xludf.DUMMYFUNCTION("""COMPUTED_VALUE"""),44978.0)</f>
        <v>44978</v>
      </c>
      <c r="J290" s="7">
        <f>IFERROR(__xludf.DUMMYFUNCTION("""COMPUTED_VALUE"""),44989.0)</f>
        <v>44989</v>
      </c>
      <c r="K290" s="5" t="str">
        <f>IFERROR(__xludf.DUMMYFUNCTION("""COMPUTED_VALUE"""),"upper-middle-income")</f>
        <v>upper-middle-income</v>
      </c>
      <c r="L290" s="5" t="str">
        <f>IFERROR(__xludf.DUMMYFUNCTION("""COMPUTED_VALUE"""),"Marshall Islands")</f>
        <v>Marshall Islands</v>
      </c>
      <c r="M290" s="5" t="str">
        <f>IFERROR(__xludf.DUMMYFUNCTION("""COMPUTED_VALUE"""),"East Asia &amp; Pacific")</f>
        <v>East Asia &amp; Pacific</v>
      </c>
      <c r="N290" s="5" t="str">
        <f>IFERROR(__xludf.DUMMYFUNCTION("""COMPUTED_VALUE"""),"Asia-Pacific")</f>
        <v>Asia-Pacific</v>
      </c>
      <c r="O290" s="5" t="str">
        <f>IFERROR(__xludf.DUMMYFUNCTION("""COMPUTED_VALUE"""),"developing")</f>
        <v>developing</v>
      </c>
      <c r="P290" s="5"/>
      <c r="Q290" s="5"/>
    </row>
    <row r="291">
      <c r="A291" s="5" t="str">
        <f>IFERROR(__xludf.DUMMYFUNCTION("""COMPUTED_VALUE"""),"Outbound")</f>
        <v>Outbound</v>
      </c>
      <c r="B291" s="5">
        <f>IFERROR(__xludf.DUMMYFUNCTION("""COMPUTED_VALUE"""),759.0)</f>
        <v>759</v>
      </c>
      <c r="C291" s="5" t="str">
        <f>IFERROR(__xludf.DUMMYFUNCTION("""COMPUTED_VALUE"""),"PETREL S")</f>
        <v>PETREL S</v>
      </c>
      <c r="D291" s="5">
        <f>IFERROR(__xludf.DUMMYFUNCTION("""COMPUTED_VALUE"""),9363883.0)</f>
        <v>9363883</v>
      </c>
      <c r="E291" s="5" t="str">
        <f>IFERROR(__xludf.DUMMYFUNCTION("""COMPUTED_VALUE"""),"Yuzhny/Pivdennyi")</f>
        <v>Yuzhny/Pivdennyi</v>
      </c>
      <c r="F291" s="5" t="str">
        <f>IFERROR(__xludf.DUMMYFUNCTION("""COMPUTED_VALUE"""),"Bulgaria")</f>
        <v>Bulgaria</v>
      </c>
      <c r="G291" s="5" t="str">
        <f>IFERROR(__xludf.DUMMYFUNCTION("""COMPUTED_VALUE"""),"Sunflower meal")</f>
        <v>Sunflower meal</v>
      </c>
      <c r="H291" s="6">
        <f>IFERROR(__xludf.DUMMYFUNCTION("""COMPUTED_VALUE"""),13500.0)</f>
        <v>13500</v>
      </c>
      <c r="I291" s="7">
        <f>IFERROR(__xludf.DUMMYFUNCTION("""COMPUTED_VALUE"""),44978.0)</f>
        <v>44978</v>
      </c>
      <c r="J291" s="7">
        <f>IFERROR(__xludf.DUMMYFUNCTION("""COMPUTED_VALUE"""),44990.0)</f>
        <v>44990</v>
      </c>
      <c r="K291" s="5" t="str">
        <f>IFERROR(__xludf.DUMMYFUNCTION("""COMPUTED_VALUE"""),"upper-middle-income")</f>
        <v>upper-middle-income</v>
      </c>
      <c r="L291" s="5" t="str">
        <f>IFERROR(__xludf.DUMMYFUNCTION("""COMPUTED_VALUE"""),"Liberia")</f>
        <v>Liberia</v>
      </c>
      <c r="M291" s="5" t="str">
        <f>IFERROR(__xludf.DUMMYFUNCTION("""COMPUTED_VALUE"""),"Europe &amp; Central Asia")</f>
        <v>Europe &amp; Central Asia</v>
      </c>
      <c r="N291" s="5" t="str">
        <f>IFERROR(__xludf.DUMMYFUNCTION("""COMPUTED_VALUE"""),"Eastern Europe")</f>
        <v>Eastern Europe</v>
      </c>
      <c r="O291" s="5" t="str">
        <f>IFERROR(__xludf.DUMMYFUNCTION("""COMPUTED_VALUE"""),"developed")</f>
        <v>developed</v>
      </c>
      <c r="P291" s="5"/>
      <c r="Q291" s="5"/>
    </row>
    <row r="292">
      <c r="A292" s="5" t="str">
        <f>IFERROR(__xludf.DUMMYFUNCTION("""COMPUTED_VALUE"""),"Outbound")</f>
        <v>Outbound</v>
      </c>
      <c r="B292" s="5">
        <f>IFERROR(__xludf.DUMMYFUNCTION("""COMPUTED_VALUE"""),758.0)</f>
        <v>758</v>
      </c>
      <c r="C292" s="5" t="str">
        <f>IFERROR(__xludf.DUMMYFUNCTION("""COMPUTED_VALUE"""),"TAMREY S")</f>
        <v>TAMREY S</v>
      </c>
      <c r="D292" s="5">
        <f>IFERROR(__xludf.DUMMYFUNCTION("""COMPUTED_VALUE"""),9171541.0)</f>
        <v>9171541</v>
      </c>
      <c r="E292" s="5" t="str">
        <f>IFERROR(__xludf.DUMMYFUNCTION("""COMPUTED_VALUE"""),"Chornomorsk")</f>
        <v>Chornomorsk</v>
      </c>
      <c r="F292" s="5" t="str">
        <f>IFERROR(__xludf.DUMMYFUNCTION("""COMPUTED_VALUE"""),"Spain")</f>
        <v>Spain</v>
      </c>
      <c r="G292" s="5" t="str">
        <f>IFERROR(__xludf.DUMMYFUNCTION("""COMPUTED_VALUE"""),"Wheat")</f>
        <v>Wheat</v>
      </c>
      <c r="H292" s="6">
        <f>IFERROR(__xludf.DUMMYFUNCTION("""COMPUTED_VALUE"""),29750.0)</f>
        <v>29750</v>
      </c>
      <c r="I292" s="7">
        <f>IFERROR(__xludf.DUMMYFUNCTION("""COMPUTED_VALUE"""),44977.0)</f>
        <v>44977</v>
      </c>
      <c r="J292" s="7">
        <f>IFERROR(__xludf.DUMMYFUNCTION("""COMPUTED_VALUE"""),44988.0)</f>
        <v>44988</v>
      </c>
      <c r="K292" s="5" t="str">
        <f>IFERROR(__xludf.DUMMYFUNCTION("""COMPUTED_VALUE"""),"high-income")</f>
        <v>high-income</v>
      </c>
      <c r="L292" s="5" t="str">
        <f>IFERROR(__xludf.DUMMYFUNCTION("""COMPUTED_VALUE"""),"Turkey")</f>
        <v>Turkey</v>
      </c>
      <c r="M292" s="5" t="str">
        <f>IFERROR(__xludf.DUMMYFUNCTION("""COMPUTED_VALUE"""),"Europe &amp; Central Asia")</f>
        <v>Europe &amp; Central Asia</v>
      </c>
      <c r="N292" s="5" t="str">
        <f>IFERROR(__xludf.DUMMYFUNCTION("""COMPUTED_VALUE"""),"Western Europe and Others")</f>
        <v>Western Europe and Others</v>
      </c>
      <c r="O292" s="5" t="str">
        <f>IFERROR(__xludf.DUMMYFUNCTION("""COMPUTED_VALUE"""),"developed")</f>
        <v>developed</v>
      </c>
      <c r="P292" s="5"/>
      <c r="Q292" s="5"/>
    </row>
    <row r="293">
      <c r="A293" s="5" t="str">
        <f>IFERROR(__xludf.DUMMYFUNCTION("""COMPUTED_VALUE"""),"Outbound")</f>
        <v>Outbound</v>
      </c>
      <c r="B293" s="5">
        <f>IFERROR(__xludf.DUMMYFUNCTION("""COMPUTED_VALUE"""),757.0)</f>
        <v>757</v>
      </c>
      <c r="C293" s="5" t="str">
        <f>IFERROR(__xludf.DUMMYFUNCTION("""COMPUTED_VALUE"""),"SUNBEAM")</f>
        <v>SUNBEAM</v>
      </c>
      <c r="D293" s="5">
        <f>IFERROR(__xludf.DUMMYFUNCTION("""COMPUTED_VALUE"""),9340386.0)</f>
        <v>9340386</v>
      </c>
      <c r="E293" s="5" t="str">
        <f>IFERROR(__xludf.DUMMYFUNCTION("""COMPUTED_VALUE"""),"Yuzhny/Pivdennyi")</f>
        <v>Yuzhny/Pivdennyi</v>
      </c>
      <c r="F293" s="5" t="str">
        <f>IFERROR(__xludf.DUMMYFUNCTION("""COMPUTED_VALUE"""),"Spain")</f>
        <v>Spain</v>
      </c>
      <c r="G293" s="5" t="str">
        <f>IFERROR(__xludf.DUMMYFUNCTION("""COMPUTED_VALUE"""),"Sunflower oil")</f>
        <v>Sunflower oil</v>
      </c>
      <c r="H293" s="6">
        <f>IFERROR(__xludf.DUMMYFUNCTION("""COMPUTED_VALUE"""),12433.0)</f>
        <v>12433</v>
      </c>
      <c r="I293" s="7">
        <f>IFERROR(__xludf.DUMMYFUNCTION("""COMPUTED_VALUE"""),44977.0)</f>
        <v>44977</v>
      </c>
      <c r="J293" s="7">
        <f>IFERROR(__xludf.DUMMYFUNCTION("""COMPUTED_VALUE"""),44990.0)</f>
        <v>44990</v>
      </c>
      <c r="K293" s="5" t="str">
        <f>IFERROR(__xludf.DUMMYFUNCTION("""COMPUTED_VALUE"""),"high-income")</f>
        <v>high-income</v>
      </c>
      <c r="L293" s="5" t="str">
        <f>IFERROR(__xludf.DUMMYFUNCTION("""COMPUTED_VALUE"""),"Panama")</f>
        <v>Panama</v>
      </c>
      <c r="M293" s="5" t="str">
        <f>IFERROR(__xludf.DUMMYFUNCTION("""COMPUTED_VALUE"""),"Europe &amp; Central Asia")</f>
        <v>Europe &amp; Central Asia</v>
      </c>
      <c r="N293" s="5" t="str">
        <f>IFERROR(__xludf.DUMMYFUNCTION("""COMPUTED_VALUE"""),"Western Europe and Others")</f>
        <v>Western Europe and Others</v>
      </c>
      <c r="O293" s="5" t="str">
        <f>IFERROR(__xludf.DUMMYFUNCTION("""COMPUTED_VALUE"""),"developed")</f>
        <v>developed</v>
      </c>
      <c r="P293" s="5"/>
      <c r="Q293" s="5"/>
    </row>
    <row r="294">
      <c r="A294" s="5" t="str">
        <f>IFERROR(__xludf.DUMMYFUNCTION("""COMPUTED_VALUE"""),"Outbound")</f>
        <v>Outbound</v>
      </c>
      <c r="B294" s="5">
        <f>IFERROR(__xludf.DUMMYFUNCTION("""COMPUTED_VALUE"""),756.0)</f>
        <v>756</v>
      </c>
      <c r="C294" s="5" t="str">
        <f>IFERROR(__xludf.DUMMYFUNCTION("""COMPUTED_VALUE"""),"SCARLET LADY")</f>
        <v>SCARLET LADY</v>
      </c>
      <c r="D294" s="5">
        <f>IFERROR(__xludf.DUMMYFUNCTION("""COMPUTED_VALUE"""),9225043.0)</f>
        <v>9225043</v>
      </c>
      <c r="E294" s="5" t="str">
        <f>IFERROR(__xludf.DUMMYFUNCTION("""COMPUTED_VALUE"""),"Chornomorsk")</f>
        <v>Chornomorsk</v>
      </c>
      <c r="F294" s="5" t="str">
        <f>IFERROR(__xludf.DUMMYFUNCTION("""COMPUTED_VALUE"""),"The Netherlands")</f>
        <v>The Netherlands</v>
      </c>
      <c r="G294" s="5" t="str">
        <f>IFERROR(__xludf.DUMMYFUNCTION("""COMPUTED_VALUE"""),"Corn")</f>
        <v>Corn</v>
      </c>
      <c r="H294" s="6">
        <f>IFERROR(__xludf.DUMMYFUNCTION("""COMPUTED_VALUE"""),60623.0)</f>
        <v>60623</v>
      </c>
      <c r="I294" s="7">
        <f>IFERROR(__xludf.DUMMYFUNCTION("""COMPUTED_VALUE"""),44977.0)</f>
        <v>44977</v>
      </c>
      <c r="J294" s="7">
        <f>IFERROR(__xludf.DUMMYFUNCTION("""COMPUTED_VALUE"""),44988.0)</f>
        <v>44988</v>
      </c>
      <c r="K294" s="5" t="str">
        <f>IFERROR(__xludf.DUMMYFUNCTION("""COMPUTED_VALUE"""),"high-income")</f>
        <v>high-income</v>
      </c>
      <c r="L294" s="5" t="str">
        <f>IFERROR(__xludf.DUMMYFUNCTION("""COMPUTED_VALUE"""),"Malta")</f>
        <v>Malta</v>
      </c>
      <c r="M294" s="5" t="str">
        <f>IFERROR(__xludf.DUMMYFUNCTION("""COMPUTED_VALUE"""),"Europe &amp; Central Asia")</f>
        <v>Europe &amp; Central Asia</v>
      </c>
      <c r="N294" s="5" t="str">
        <f>IFERROR(__xludf.DUMMYFUNCTION("""COMPUTED_VALUE"""),"Western Europe and Others")</f>
        <v>Western Europe and Others</v>
      </c>
      <c r="O294" s="5" t="str">
        <f>IFERROR(__xludf.DUMMYFUNCTION("""COMPUTED_VALUE"""),"developed")</f>
        <v>developed</v>
      </c>
      <c r="P294" s="5"/>
      <c r="Q294" s="5"/>
    </row>
    <row r="295">
      <c r="A295" s="5" t="str">
        <f>IFERROR(__xludf.DUMMYFUNCTION("""COMPUTED_VALUE"""),"Outbound")</f>
        <v>Outbound</v>
      </c>
      <c r="B295" s="5">
        <f>IFERROR(__xludf.DUMMYFUNCTION("""COMPUTED_VALUE"""),755.0)</f>
        <v>755</v>
      </c>
      <c r="C295" s="5" t="str">
        <f>IFERROR(__xludf.DUMMYFUNCTION("""COMPUTED_VALUE"""),"VALSAMITIS (WFP)")</f>
        <v>VALSAMITIS (WFP)</v>
      </c>
      <c r="D295" s="5">
        <f>IFERROR(__xludf.DUMMYFUNCTION("""COMPUTED_VALUE"""),9629823.0)</f>
        <v>9629823</v>
      </c>
      <c r="E295" s="5" t="str">
        <f>IFERROR(__xludf.DUMMYFUNCTION("""COMPUTED_VALUE"""),"Chornomorsk")</f>
        <v>Chornomorsk</v>
      </c>
      <c r="F295" s="5" t="str">
        <f>IFERROR(__xludf.DUMMYFUNCTION("""COMPUTED_VALUE"""),"Ethiopia")</f>
        <v>Ethiopia</v>
      </c>
      <c r="G295" s="5" t="str">
        <f>IFERROR(__xludf.DUMMYFUNCTION("""COMPUTED_VALUE"""),"Wheat")</f>
        <v>Wheat</v>
      </c>
      <c r="H295" s="6">
        <f>IFERROR(__xludf.DUMMYFUNCTION("""COMPUTED_VALUE"""),5000.0)</f>
        <v>5000</v>
      </c>
      <c r="I295" s="7">
        <f>IFERROR(__xludf.DUMMYFUNCTION("""COMPUTED_VALUE"""),44976.0)</f>
        <v>44976</v>
      </c>
      <c r="J295" s="7">
        <f>IFERROR(__xludf.DUMMYFUNCTION("""COMPUTED_VALUE"""),44985.0)</f>
        <v>44985</v>
      </c>
      <c r="K295" s="5" t="str">
        <f>IFERROR(__xludf.DUMMYFUNCTION("""COMPUTED_VALUE"""),"low-income")</f>
        <v>low-income</v>
      </c>
      <c r="L295" s="5" t="str">
        <f>IFERROR(__xludf.DUMMYFUNCTION("""COMPUTED_VALUE"""),"Liberia")</f>
        <v>Liberia</v>
      </c>
      <c r="M295" s="5" t="str">
        <f>IFERROR(__xludf.DUMMYFUNCTION("""COMPUTED_VALUE"""),"Sub-Saharan Africa")</f>
        <v>Sub-Saharan Africa</v>
      </c>
      <c r="N295" s="5" t="str">
        <f>IFERROR(__xludf.DUMMYFUNCTION("""COMPUTED_VALUE"""),"Africa")</f>
        <v>Africa</v>
      </c>
      <c r="O295" s="5" t="str">
        <f>IFERROR(__xludf.DUMMYFUNCTION("""COMPUTED_VALUE"""),"developing")</f>
        <v>developing</v>
      </c>
      <c r="P295" s="5" t="str">
        <f>IFERROR(__xludf.DUMMYFUNCTION("""COMPUTED_VALUE"""),"WFP")</f>
        <v>WFP</v>
      </c>
      <c r="Q295" s="5"/>
    </row>
    <row r="296">
      <c r="A296" s="5" t="str">
        <f>IFERROR(__xludf.DUMMYFUNCTION("""COMPUTED_VALUE"""),"Outbound +")</f>
        <v>Outbound +</v>
      </c>
      <c r="B296" s="5">
        <f>IFERROR(__xludf.DUMMYFUNCTION("""COMPUTED_VALUE"""),755.0)</f>
        <v>755</v>
      </c>
      <c r="C296" s="5" t="str">
        <f>IFERROR(__xludf.DUMMYFUNCTION("""COMPUTED_VALUE"""),"VALSAMITIS (WFP)")</f>
        <v>VALSAMITIS (WFP)</v>
      </c>
      <c r="D296" s="5">
        <f>IFERROR(__xludf.DUMMYFUNCTION("""COMPUTED_VALUE"""),9629823.0)</f>
        <v>9629823</v>
      </c>
      <c r="E296" s="5" t="str">
        <f>IFERROR(__xludf.DUMMYFUNCTION("""COMPUTED_VALUE"""),"Chornomorsk")</f>
        <v>Chornomorsk</v>
      </c>
      <c r="F296" s="5" t="str">
        <f>IFERROR(__xludf.DUMMYFUNCTION("""COMPUTED_VALUE"""),"Kenya")</f>
        <v>Kenya</v>
      </c>
      <c r="G296" s="5" t="str">
        <f>IFERROR(__xludf.DUMMYFUNCTION("""COMPUTED_VALUE"""),"Wheat")</f>
        <v>Wheat</v>
      </c>
      <c r="H296" s="6">
        <f>IFERROR(__xludf.DUMMYFUNCTION("""COMPUTED_VALUE"""),25000.0)</f>
        <v>25000</v>
      </c>
      <c r="I296" s="7">
        <f>IFERROR(__xludf.DUMMYFUNCTION("""COMPUTED_VALUE"""),44976.0)</f>
        <v>44976</v>
      </c>
      <c r="J296" s="7">
        <f>IFERROR(__xludf.DUMMYFUNCTION("""COMPUTED_VALUE"""),44985.0)</f>
        <v>44985</v>
      </c>
      <c r="K296" s="5" t="str">
        <f>IFERROR(__xludf.DUMMYFUNCTION("""COMPUTED_VALUE"""),"lower-middle income")</f>
        <v>lower-middle income</v>
      </c>
      <c r="L296" s="5" t="str">
        <f>IFERROR(__xludf.DUMMYFUNCTION("""COMPUTED_VALUE"""),"Liberia")</f>
        <v>Liberia</v>
      </c>
      <c r="M296" s="5" t="str">
        <f>IFERROR(__xludf.DUMMYFUNCTION("""COMPUTED_VALUE"""),"Sub-Saharan Africa")</f>
        <v>Sub-Saharan Africa</v>
      </c>
      <c r="N296" s="5" t="str">
        <f>IFERROR(__xludf.DUMMYFUNCTION("""COMPUTED_VALUE"""),"Africa")</f>
        <v>Africa</v>
      </c>
      <c r="O296" s="5" t="str">
        <f>IFERROR(__xludf.DUMMYFUNCTION("""COMPUTED_VALUE"""),"developing")</f>
        <v>developing</v>
      </c>
      <c r="P296" s="5" t="str">
        <f>IFERROR(__xludf.DUMMYFUNCTION("""COMPUTED_VALUE"""),"WFP")</f>
        <v>WFP</v>
      </c>
      <c r="Q296" s="5"/>
    </row>
    <row r="297">
      <c r="A297" s="5" t="str">
        <f>IFERROR(__xludf.DUMMYFUNCTION("""COMPUTED_VALUE"""),"Outbound")</f>
        <v>Outbound</v>
      </c>
      <c r="B297" s="5">
        <f>IFERROR(__xludf.DUMMYFUNCTION("""COMPUTED_VALUE"""),754.0)</f>
        <v>754</v>
      </c>
      <c r="C297" s="5" t="str">
        <f>IFERROR(__xludf.DUMMYFUNCTION("""COMPUTED_VALUE"""),"ROYAL STAR (WFP)")</f>
        <v>ROYAL STAR (WFP)</v>
      </c>
      <c r="D297" s="5">
        <f>IFERROR(__xludf.DUMMYFUNCTION("""COMPUTED_VALUE"""),9223813.0)</f>
        <v>9223813</v>
      </c>
      <c r="E297" s="5" t="str">
        <f>IFERROR(__xludf.DUMMYFUNCTION("""COMPUTED_VALUE"""),"Odesa")</f>
        <v>Odesa</v>
      </c>
      <c r="F297" s="5" t="str">
        <f>IFERROR(__xludf.DUMMYFUNCTION("""COMPUTED_VALUE"""),"Afghanistan")</f>
        <v>Afghanistan</v>
      </c>
      <c r="G297" s="5" t="str">
        <f>IFERROR(__xludf.DUMMYFUNCTION("""COMPUTED_VALUE"""),"Wheat")</f>
        <v>Wheat</v>
      </c>
      <c r="H297" s="6">
        <f>IFERROR(__xludf.DUMMYFUNCTION("""COMPUTED_VALUE"""),25000.0)</f>
        <v>25000</v>
      </c>
      <c r="I297" s="7">
        <f>IFERROR(__xludf.DUMMYFUNCTION("""COMPUTED_VALUE"""),44976.0)</f>
        <v>44976</v>
      </c>
      <c r="J297" s="7">
        <f>IFERROR(__xludf.DUMMYFUNCTION("""COMPUTED_VALUE"""),44984.0)</f>
        <v>44984</v>
      </c>
      <c r="K297" s="5" t="str">
        <f>IFERROR(__xludf.DUMMYFUNCTION("""COMPUTED_VALUE"""),"low-income")</f>
        <v>low-income</v>
      </c>
      <c r="L297" s="5" t="str">
        <f>IFERROR(__xludf.DUMMYFUNCTION("""COMPUTED_VALUE"""),"Panama")</f>
        <v>Panama</v>
      </c>
      <c r="M297" s="5" t="str">
        <f>IFERROR(__xludf.DUMMYFUNCTION("""COMPUTED_VALUE"""),"South Asia")</f>
        <v>South Asia</v>
      </c>
      <c r="N297" s="5" t="str">
        <f>IFERROR(__xludf.DUMMYFUNCTION("""COMPUTED_VALUE"""),"Asia-Pacific")</f>
        <v>Asia-Pacific</v>
      </c>
      <c r="O297" s="5" t="str">
        <f>IFERROR(__xludf.DUMMYFUNCTION("""COMPUTED_VALUE"""),"developing")</f>
        <v>developing</v>
      </c>
      <c r="P297" s="5" t="str">
        <f>IFERROR(__xludf.DUMMYFUNCTION("""COMPUTED_VALUE"""),"WFP")</f>
        <v>WFP</v>
      </c>
      <c r="Q297" s="5"/>
    </row>
    <row r="298">
      <c r="A298" s="5" t="str">
        <f>IFERROR(__xludf.DUMMYFUNCTION("""COMPUTED_VALUE"""),"Outbound")</f>
        <v>Outbound</v>
      </c>
      <c r="B298" s="5">
        <f>IFERROR(__xludf.DUMMYFUNCTION("""COMPUTED_VALUE"""),753.0)</f>
        <v>753</v>
      </c>
      <c r="C298" s="5" t="str">
        <f>IFERROR(__xludf.DUMMYFUNCTION("""COMPUTED_VALUE"""),"RISING FALCON")</f>
        <v>RISING FALCON</v>
      </c>
      <c r="D298" s="5">
        <f>IFERROR(__xludf.DUMMYFUNCTION("""COMPUTED_VALUE"""),9105396.0)</f>
        <v>9105396</v>
      </c>
      <c r="E298" s="5" t="str">
        <f>IFERROR(__xludf.DUMMYFUNCTION("""COMPUTED_VALUE"""),"Chornomorsk")</f>
        <v>Chornomorsk</v>
      </c>
      <c r="F298" s="5" t="str">
        <f>IFERROR(__xludf.DUMMYFUNCTION("""COMPUTED_VALUE"""),"Türkiye")</f>
        <v>Türkiye</v>
      </c>
      <c r="G298" s="5" t="str">
        <f>IFERROR(__xludf.DUMMYFUNCTION("""COMPUTED_VALUE"""),"Wheat")</f>
        <v>Wheat</v>
      </c>
      <c r="H298" s="6">
        <f>IFERROR(__xludf.DUMMYFUNCTION("""COMPUTED_VALUE"""),26200.0)</f>
        <v>26200</v>
      </c>
      <c r="I298" s="7">
        <f>IFERROR(__xludf.DUMMYFUNCTION("""COMPUTED_VALUE"""),44976.0)</f>
        <v>44976</v>
      </c>
      <c r="J298" s="7">
        <f>IFERROR(__xludf.DUMMYFUNCTION("""COMPUTED_VALUE"""),44988.0)</f>
        <v>44988</v>
      </c>
      <c r="K298" s="5" t="str">
        <f>IFERROR(__xludf.DUMMYFUNCTION("""COMPUTED_VALUE"""),"upper-middle-income")</f>
        <v>upper-middle-income</v>
      </c>
      <c r="L298" s="5" t="str">
        <f>IFERROR(__xludf.DUMMYFUNCTION("""COMPUTED_VALUE"""),"St. Vincent")</f>
        <v>St. Vincent</v>
      </c>
      <c r="M298" s="5" t="str">
        <f>IFERROR(__xludf.DUMMYFUNCTION("""COMPUTED_VALUE"""),"Europe &amp; Central Asia")</f>
        <v>Europe &amp; Central Asia</v>
      </c>
      <c r="N298" s="5" t="str">
        <f>IFERROR(__xludf.DUMMYFUNCTION("""COMPUTED_VALUE"""),"Asia-Pacific")</f>
        <v>Asia-Pacific</v>
      </c>
      <c r="O298" s="5" t="str">
        <f>IFERROR(__xludf.DUMMYFUNCTION("""COMPUTED_VALUE"""),"developing")</f>
        <v>developing</v>
      </c>
      <c r="P298" s="5"/>
      <c r="Q298" s="5"/>
    </row>
    <row r="299">
      <c r="A299" s="5" t="str">
        <f>IFERROR(__xludf.DUMMYFUNCTION("""COMPUTED_VALUE"""),"Outbound")</f>
        <v>Outbound</v>
      </c>
      <c r="B299" s="5">
        <f>IFERROR(__xludf.DUMMYFUNCTION("""COMPUTED_VALUE"""),752.0)</f>
        <v>752</v>
      </c>
      <c r="C299" s="5" t="str">
        <f>IFERROR(__xludf.DUMMYFUNCTION("""COMPUTED_VALUE"""),"MOHAMAD M")</f>
        <v>MOHAMAD M</v>
      </c>
      <c r="D299" s="5">
        <f>IFERROR(__xludf.DUMMYFUNCTION("""COMPUTED_VALUE"""),9141235.0)</f>
        <v>9141235</v>
      </c>
      <c r="E299" s="5" t="str">
        <f>IFERROR(__xludf.DUMMYFUNCTION("""COMPUTED_VALUE"""),"Chornomorsk")</f>
        <v>Chornomorsk</v>
      </c>
      <c r="F299" s="5" t="str">
        <f>IFERROR(__xludf.DUMMYFUNCTION("""COMPUTED_VALUE"""),"Portugal")</f>
        <v>Portugal</v>
      </c>
      <c r="G299" s="5" t="str">
        <f>IFERROR(__xludf.DUMMYFUNCTION("""COMPUTED_VALUE"""),"Corn")</f>
        <v>Corn</v>
      </c>
      <c r="H299" s="6">
        <f>IFERROR(__xludf.DUMMYFUNCTION("""COMPUTED_VALUE"""),22500.0)</f>
        <v>22500</v>
      </c>
      <c r="I299" s="7">
        <f>IFERROR(__xludf.DUMMYFUNCTION("""COMPUTED_VALUE"""),44976.0)</f>
        <v>44976</v>
      </c>
      <c r="J299" s="7">
        <f>IFERROR(__xludf.DUMMYFUNCTION("""COMPUTED_VALUE"""),44986.0)</f>
        <v>44986</v>
      </c>
      <c r="K299" s="5" t="str">
        <f>IFERROR(__xludf.DUMMYFUNCTION("""COMPUTED_VALUE"""),"high-income")</f>
        <v>high-income</v>
      </c>
      <c r="L299" s="5" t="str">
        <f>IFERROR(__xludf.DUMMYFUNCTION("""COMPUTED_VALUE"""),"Cook Islands")</f>
        <v>Cook Islands</v>
      </c>
      <c r="M299" s="5" t="str">
        <f>IFERROR(__xludf.DUMMYFUNCTION("""COMPUTED_VALUE"""),"Europe &amp; Central Asia")</f>
        <v>Europe &amp; Central Asia</v>
      </c>
      <c r="N299" s="5" t="str">
        <f>IFERROR(__xludf.DUMMYFUNCTION("""COMPUTED_VALUE"""),"Western Europe and Others")</f>
        <v>Western Europe and Others</v>
      </c>
      <c r="O299" s="5" t="str">
        <f>IFERROR(__xludf.DUMMYFUNCTION("""COMPUTED_VALUE"""),"developed")</f>
        <v>developed</v>
      </c>
      <c r="P299" s="5"/>
      <c r="Q299" s="5"/>
    </row>
    <row r="300">
      <c r="A300" s="5" t="str">
        <f>IFERROR(__xludf.DUMMYFUNCTION("""COMPUTED_VALUE"""),"Outbound")</f>
        <v>Outbound</v>
      </c>
      <c r="B300" s="5">
        <f>IFERROR(__xludf.DUMMYFUNCTION("""COMPUTED_VALUE"""),751.0)</f>
        <v>751</v>
      </c>
      <c r="C300" s="5" t="str">
        <f>IFERROR(__xludf.DUMMYFUNCTION("""COMPUTED_VALUE"""),"INTERCEPTOR")</f>
        <v>INTERCEPTOR</v>
      </c>
      <c r="D300" s="5">
        <f>IFERROR(__xludf.DUMMYFUNCTION("""COMPUTED_VALUE"""),9835965.0)</f>
        <v>9835965</v>
      </c>
      <c r="E300" s="5" t="str">
        <f>IFERROR(__xludf.DUMMYFUNCTION("""COMPUTED_VALUE"""),"Yuzhny/Pivdennyi")</f>
        <v>Yuzhny/Pivdennyi</v>
      </c>
      <c r="F300" s="5" t="str">
        <f>IFERROR(__xludf.DUMMYFUNCTION("""COMPUTED_VALUE"""),"China")</f>
        <v>China</v>
      </c>
      <c r="G300" s="5" t="str">
        <f>IFERROR(__xludf.DUMMYFUNCTION("""COMPUTED_VALUE"""),"Corn")</f>
        <v>Corn</v>
      </c>
      <c r="H300" s="6">
        <f>IFERROR(__xludf.DUMMYFUNCTION("""COMPUTED_VALUE"""),71500.0)</f>
        <v>71500</v>
      </c>
      <c r="I300" s="7">
        <f>IFERROR(__xludf.DUMMYFUNCTION("""COMPUTED_VALUE"""),44976.0)</f>
        <v>44976</v>
      </c>
      <c r="J300" s="7">
        <f>IFERROR(__xludf.DUMMYFUNCTION("""COMPUTED_VALUE"""),44987.0)</f>
        <v>44987</v>
      </c>
      <c r="K300" s="5" t="str">
        <f>IFERROR(__xludf.DUMMYFUNCTION("""COMPUTED_VALUE"""),"upper-middle-income")</f>
        <v>upper-middle-income</v>
      </c>
      <c r="L300" s="5" t="str">
        <f>IFERROR(__xludf.DUMMYFUNCTION("""COMPUTED_VALUE"""),"Liberia")</f>
        <v>Liberia</v>
      </c>
      <c r="M300" s="5" t="str">
        <f>IFERROR(__xludf.DUMMYFUNCTION("""COMPUTED_VALUE"""),"East Asia &amp; Pacific")</f>
        <v>East Asia &amp; Pacific</v>
      </c>
      <c r="N300" s="5" t="str">
        <f>IFERROR(__xludf.DUMMYFUNCTION("""COMPUTED_VALUE"""),"Asia-Pacific")</f>
        <v>Asia-Pacific</v>
      </c>
      <c r="O300" s="5" t="str">
        <f>IFERROR(__xludf.DUMMYFUNCTION("""COMPUTED_VALUE"""),"developing")</f>
        <v>developing</v>
      </c>
      <c r="P300" s="5"/>
      <c r="Q300" s="5"/>
    </row>
    <row r="301">
      <c r="A301" s="5" t="str">
        <f>IFERROR(__xludf.DUMMYFUNCTION("""COMPUTED_VALUE"""),"Outbound")</f>
        <v>Outbound</v>
      </c>
      <c r="B301" s="5">
        <f>IFERROR(__xludf.DUMMYFUNCTION("""COMPUTED_VALUE"""),750.0)</f>
        <v>750</v>
      </c>
      <c r="C301" s="5" t="str">
        <f>IFERROR(__xludf.DUMMYFUNCTION("""COMPUTED_VALUE"""),"GANNET S")</f>
        <v>GANNET S</v>
      </c>
      <c r="D301" s="5">
        <f>IFERROR(__xludf.DUMMYFUNCTION("""COMPUTED_VALUE"""),9316995.0)</f>
        <v>9316995</v>
      </c>
      <c r="E301" s="5" t="str">
        <f>IFERROR(__xludf.DUMMYFUNCTION("""COMPUTED_VALUE"""),"Odesa")</f>
        <v>Odesa</v>
      </c>
      <c r="F301" s="5" t="str">
        <f>IFERROR(__xludf.DUMMYFUNCTION("""COMPUTED_VALUE"""),"Türkiye")</f>
        <v>Türkiye</v>
      </c>
      <c r="G301" s="5" t="str">
        <f>IFERROR(__xludf.DUMMYFUNCTION("""COMPUTED_VALUE"""),"Wheat")</f>
        <v>Wheat</v>
      </c>
      <c r="H301" s="6">
        <f>IFERROR(__xludf.DUMMYFUNCTION("""COMPUTED_VALUE"""),11000.0)</f>
        <v>11000</v>
      </c>
      <c r="I301" s="7">
        <f>IFERROR(__xludf.DUMMYFUNCTION("""COMPUTED_VALUE"""),44976.0)</f>
        <v>44976</v>
      </c>
      <c r="J301" s="7">
        <f>IFERROR(__xludf.DUMMYFUNCTION("""COMPUTED_VALUE"""),44988.0)</f>
        <v>44988</v>
      </c>
      <c r="K301" s="5" t="str">
        <f>IFERROR(__xludf.DUMMYFUNCTION("""COMPUTED_VALUE"""),"upper-middle-income")</f>
        <v>upper-middle-income</v>
      </c>
      <c r="L301" s="5" t="str">
        <f>IFERROR(__xludf.DUMMYFUNCTION("""COMPUTED_VALUE"""),"Liberia")</f>
        <v>Liberia</v>
      </c>
      <c r="M301" s="5" t="str">
        <f>IFERROR(__xludf.DUMMYFUNCTION("""COMPUTED_VALUE"""),"Europe &amp; Central Asia")</f>
        <v>Europe &amp; Central Asia</v>
      </c>
      <c r="N301" s="5" t="str">
        <f>IFERROR(__xludf.DUMMYFUNCTION("""COMPUTED_VALUE"""),"Asia-Pacific")</f>
        <v>Asia-Pacific</v>
      </c>
      <c r="O301" s="5" t="str">
        <f>IFERROR(__xludf.DUMMYFUNCTION("""COMPUTED_VALUE"""),"developing")</f>
        <v>developing</v>
      </c>
      <c r="P301" s="5"/>
      <c r="Q301" s="5"/>
    </row>
    <row r="302">
      <c r="A302" s="5" t="str">
        <f>IFERROR(__xludf.DUMMYFUNCTION("""COMPUTED_VALUE"""),"Outbound +")</f>
        <v>Outbound +</v>
      </c>
      <c r="B302" s="5">
        <f>IFERROR(__xludf.DUMMYFUNCTION("""COMPUTED_VALUE"""),750.0)</f>
        <v>750</v>
      </c>
      <c r="C302" s="5" t="str">
        <f>IFERROR(__xludf.DUMMYFUNCTION("""COMPUTED_VALUE"""),"GANNET S")</f>
        <v>GANNET S</v>
      </c>
      <c r="D302" s="5">
        <f>IFERROR(__xludf.DUMMYFUNCTION("""COMPUTED_VALUE"""),9316995.0)</f>
        <v>9316995</v>
      </c>
      <c r="E302" s="5" t="str">
        <f>IFERROR(__xludf.DUMMYFUNCTION("""COMPUTED_VALUE"""),"Odesa")</f>
        <v>Odesa</v>
      </c>
      <c r="F302" s="5" t="str">
        <f>IFERROR(__xludf.DUMMYFUNCTION("""COMPUTED_VALUE"""),"Türkiye")</f>
        <v>Türkiye</v>
      </c>
      <c r="G302" s="5" t="str">
        <f>IFERROR(__xludf.DUMMYFUNCTION("""COMPUTED_VALUE"""),"Barley")</f>
        <v>Barley</v>
      </c>
      <c r="H302" s="6">
        <f>IFERROR(__xludf.DUMMYFUNCTION("""COMPUTED_VALUE"""),4000.0)</f>
        <v>4000</v>
      </c>
      <c r="I302" s="7">
        <f>IFERROR(__xludf.DUMMYFUNCTION("""COMPUTED_VALUE"""),44976.0)</f>
        <v>44976</v>
      </c>
      <c r="J302" s="7">
        <f>IFERROR(__xludf.DUMMYFUNCTION("""COMPUTED_VALUE"""),44988.0)</f>
        <v>44988</v>
      </c>
      <c r="K302" s="5" t="str">
        <f>IFERROR(__xludf.DUMMYFUNCTION("""COMPUTED_VALUE"""),"upper-middle-income")</f>
        <v>upper-middle-income</v>
      </c>
      <c r="L302" s="5" t="str">
        <f>IFERROR(__xludf.DUMMYFUNCTION("""COMPUTED_VALUE"""),"Liberia")</f>
        <v>Liberia</v>
      </c>
      <c r="M302" s="5" t="str">
        <f>IFERROR(__xludf.DUMMYFUNCTION("""COMPUTED_VALUE"""),"Europe &amp; Central Asia")</f>
        <v>Europe &amp; Central Asia</v>
      </c>
      <c r="N302" s="5" t="str">
        <f>IFERROR(__xludf.DUMMYFUNCTION("""COMPUTED_VALUE"""),"Asia-Pacific")</f>
        <v>Asia-Pacific</v>
      </c>
      <c r="O302" s="5" t="str">
        <f>IFERROR(__xludf.DUMMYFUNCTION("""COMPUTED_VALUE"""),"developing")</f>
        <v>developing</v>
      </c>
      <c r="P302" s="5"/>
      <c r="Q302" s="5"/>
    </row>
    <row r="303">
      <c r="A303" s="5" t="str">
        <f>IFERROR(__xludf.DUMMYFUNCTION("""COMPUTED_VALUE"""),"Outbound")</f>
        <v>Outbound</v>
      </c>
      <c r="B303" s="5">
        <f>IFERROR(__xludf.DUMMYFUNCTION("""COMPUTED_VALUE"""),749.0)</f>
        <v>749</v>
      </c>
      <c r="C303" s="5" t="str">
        <f>IFERROR(__xludf.DUMMYFUNCTION("""COMPUTED_VALUE"""),"NEW HARVEST")</f>
        <v>NEW HARVEST</v>
      </c>
      <c r="D303" s="5">
        <f>IFERROR(__xludf.DUMMYFUNCTION("""COMPUTED_VALUE"""),9290713.0)</f>
        <v>9290713</v>
      </c>
      <c r="E303" s="5" t="str">
        <f>IFERROR(__xludf.DUMMYFUNCTION("""COMPUTED_VALUE"""),"Chornomorsk")</f>
        <v>Chornomorsk</v>
      </c>
      <c r="F303" s="5" t="str">
        <f>IFERROR(__xludf.DUMMYFUNCTION("""COMPUTED_VALUE"""),"China")</f>
        <v>China</v>
      </c>
      <c r="G303" s="5" t="str">
        <f>IFERROR(__xludf.DUMMYFUNCTION("""COMPUTED_VALUE"""),"Corn")</f>
        <v>Corn</v>
      </c>
      <c r="H303" s="6">
        <f>IFERROR(__xludf.DUMMYFUNCTION("""COMPUTED_VALUE"""),65813.0)</f>
        <v>65813</v>
      </c>
      <c r="I303" s="7">
        <f>IFERROR(__xludf.DUMMYFUNCTION("""COMPUTED_VALUE"""),44975.0)</f>
        <v>44975</v>
      </c>
      <c r="J303" s="7">
        <f>IFERROR(__xludf.DUMMYFUNCTION("""COMPUTED_VALUE"""),44986.0)</f>
        <v>44986</v>
      </c>
      <c r="K303" s="5" t="str">
        <f>IFERROR(__xludf.DUMMYFUNCTION("""COMPUTED_VALUE"""),"upper-middle-income")</f>
        <v>upper-middle-income</v>
      </c>
      <c r="L303" s="5" t="str">
        <f>IFERROR(__xludf.DUMMYFUNCTION("""COMPUTED_VALUE"""),"Panama")</f>
        <v>Panama</v>
      </c>
      <c r="M303" s="5" t="str">
        <f>IFERROR(__xludf.DUMMYFUNCTION("""COMPUTED_VALUE"""),"East Asia &amp; Pacific")</f>
        <v>East Asia &amp; Pacific</v>
      </c>
      <c r="N303" s="5" t="str">
        <f>IFERROR(__xludf.DUMMYFUNCTION("""COMPUTED_VALUE"""),"Asia-Pacific")</f>
        <v>Asia-Pacific</v>
      </c>
      <c r="O303" s="5" t="str">
        <f>IFERROR(__xludf.DUMMYFUNCTION("""COMPUTED_VALUE"""),"developing")</f>
        <v>developing</v>
      </c>
      <c r="P303" s="5"/>
      <c r="Q303" s="5"/>
    </row>
    <row r="304">
      <c r="A304" s="5" t="str">
        <f>IFERROR(__xludf.DUMMYFUNCTION("""COMPUTED_VALUE"""),"Outbound")</f>
        <v>Outbound</v>
      </c>
      <c r="B304" s="5">
        <f>IFERROR(__xludf.DUMMYFUNCTION("""COMPUTED_VALUE"""),748.0)</f>
        <v>748</v>
      </c>
      <c r="C304" s="5" t="str">
        <f>IFERROR(__xludf.DUMMYFUNCTION("""COMPUTED_VALUE"""),"NEW ENAS")</f>
        <v>NEW ENAS</v>
      </c>
      <c r="D304" s="5">
        <f>IFERROR(__xludf.DUMMYFUNCTION("""COMPUTED_VALUE"""),9118238.0)</f>
        <v>9118238</v>
      </c>
      <c r="E304" s="5" t="str">
        <f>IFERROR(__xludf.DUMMYFUNCTION("""COMPUTED_VALUE"""),"Chornomorsk")</f>
        <v>Chornomorsk</v>
      </c>
      <c r="F304" s="5" t="str">
        <f>IFERROR(__xludf.DUMMYFUNCTION("""COMPUTED_VALUE"""),"Türkiye")</f>
        <v>Türkiye</v>
      </c>
      <c r="G304" s="5" t="str">
        <f>IFERROR(__xludf.DUMMYFUNCTION("""COMPUTED_VALUE"""),"Wheat")</f>
        <v>Wheat</v>
      </c>
      <c r="H304" s="6">
        <f>IFERROR(__xludf.DUMMYFUNCTION("""COMPUTED_VALUE"""),14800.0)</f>
        <v>14800</v>
      </c>
      <c r="I304" s="7">
        <f>IFERROR(__xludf.DUMMYFUNCTION("""COMPUTED_VALUE"""),44975.0)</f>
        <v>44975</v>
      </c>
      <c r="J304" s="7">
        <f>IFERROR(__xludf.DUMMYFUNCTION("""COMPUTED_VALUE"""),44987.0)</f>
        <v>44987</v>
      </c>
      <c r="K304" s="5" t="str">
        <f>IFERROR(__xludf.DUMMYFUNCTION("""COMPUTED_VALUE"""),"upper-middle-income")</f>
        <v>upper-middle-income</v>
      </c>
      <c r="L304" s="5" t="str">
        <f>IFERROR(__xludf.DUMMYFUNCTION("""COMPUTED_VALUE"""),"Comoros")</f>
        <v>Comoros</v>
      </c>
      <c r="M304" s="5" t="str">
        <f>IFERROR(__xludf.DUMMYFUNCTION("""COMPUTED_VALUE"""),"Europe &amp; Central Asia")</f>
        <v>Europe &amp; Central Asia</v>
      </c>
      <c r="N304" s="5" t="str">
        <f>IFERROR(__xludf.DUMMYFUNCTION("""COMPUTED_VALUE"""),"Asia-Pacific")</f>
        <v>Asia-Pacific</v>
      </c>
      <c r="O304" s="5" t="str">
        <f>IFERROR(__xludf.DUMMYFUNCTION("""COMPUTED_VALUE"""),"developing")</f>
        <v>developing</v>
      </c>
      <c r="P304" s="5"/>
      <c r="Q304" s="5"/>
    </row>
    <row r="305">
      <c r="A305" s="5" t="str">
        <f>IFERROR(__xludf.DUMMYFUNCTION("""COMPUTED_VALUE"""),"Outbound")</f>
        <v>Outbound</v>
      </c>
      <c r="B305" s="5">
        <f>IFERROR(__xludf.DUMMYFUNCTION("""COMPUTED_VALUE"""),747.0)</f>
        <v>747</v>
      </c>
      <c r="C305" s="5" t="str">
        <f>IFERROR(__xludf.DUMMYFUNCTION("""COMPUTED_VALUE"""),"MAHA AARTI")</f>
        <v>MAHA AARTI</v>
      </c>
      <c r="D305" s="5">
        <f>IFERROR(__xludf.DUMMYFUNCTION("""COMPUTED_VALUE"""),9355484.0)</f>
        <v>9355484</v>
      </c>
      <c r="E305" s="5" t="str">
        <f>IFERROR(__xludf.DUMMYFUNCTION("""COMPUTED_VALUE"""),"Yuzhny/Pivdennyi")</f>
        <v>Yuzhny/Pivdennyi</v>
      </c>
      <c r="F305" s="5" t="str">
        <f>IFERROR(__xludf.DUMMYFUNCTION("""COMPUTED_VALUE"""),"Egypt")</f>
        <v>Egypt</v>
      </c>
      <c r="G305" s="5" t="str">
        <f>IFERROR(__xludf.DUMMYFUNCTION("""COMPUTED_VALUE"""),"Corn")</f>
        <v>Corn</v>
      </c>
      <c r="H305" s="6">
        <f>IFERROR(__xludf.DUMMYFUNCTION("""COMPUTED_VALUE"""),65081.0)</f>
        <v>65081</v>
      </c>
      <c r="I305" s="7">
        <f>IFERROR(__xludf.DUMMYFUNCTION("""COMPUTED_VALUE"""),44974.0)</f>
        <v>44974</v>
      </c>
      <c r="J305" s="7">
        <f>IFERROR(__xludf.DUMMYFUNCTION("""COMPUTED_VALUE"""),44982.0)</f>
        <v>44982</v>
      </c>
      <c r="K305" s="5" t="str">
        <f>IFERROR(__xludf.DUMMYFUNCTION("""COMPUTED_VALUE"""),"lower-middle income")</f>
        <v>lower-middle income</v>
      </c>
      <c r="L305" s="5" t="str">
        <f>IFERROR(__xludf.DUMMYFUNCTION("""COMPUTED_VALUE"""),"India")</f>
        <v>India</v>
      </c>
      <c r="M305" s="5" t="str">
        <f>IFERROR(__xludf.DUMMYFUNCTION("""COMPUTED_VALUE"""),"Middle East &amp; North Africa")</f>
        <v>Middle East &amp; North Africa</v>
      </c>
      <c r="N305" s="5" t="str">
        <f>IFERROR(__xludf.DUMMYFUNCTION("""COMPUTED_VALUE"""),"Africa")</f>
        <v>Africa</v>
      </c>
      <c r="O305" s="5" t="str">
        <f>IFERROR(__xludf.DUMMYFUNCTION("""COMPUTED_VALUE"""),"developing")</f>
        <v>developing</v>
      </c>
      <c r="P305" s="5"/>
      <c r="Q305" s="5"/>
    </row>
    <row r="306">
      <c r="A306" s="5" t="str">
        <f>IFERROR(__xludf.DUMMYFUNCTION("""COMPUTED_VALUE"""),"Outbound")</f>
        <v>Outbound</v>
      </c>
      <c r="B306" s="5">
        <f>IFERROR(__xludf.DUMMYFUNCTION("""COMPUTED_VALUE"""),746.0)</f>
        <v>746</v>
      </c>
      <c r="C306" s="5" t="str">
        <f>IFERROR(__xludf.DUMMYFUNCTION("""COMPUTED_VALUE"""),"FAIA G")</f>
        <v>FAIA G</v>
      </c>
      <c r="D306" s="5">
        <f>IFERROR(__xludf.DUMMYFUNCTION("""COMPUTED_VALUE"""),9550424.0)</f>
        <v>9550424</v>
      </c>
      <c r="E306" s="5" t="str">
        <f>IFERROR(__xludf.DUMMYFUNCTION("""COMPUTED_VALUE"""),"Odesa")</f>
        <v>Odesa</v>
      </c>
      <c r="F306" s="5" t="str">
        <f>IFERROR(__xludf.DUMMYFUNCTION("""COMPUTED_VALUE"""),"Türkiye")</f>
        <v>Türkiye</v>
      </c>
      <c r="G306" s="5" t="str">
        <f>IFERROR(__xludf.DUMMYFUNCTION("""COMPUTED_VALUE"""),"Barley")</f>
        <v>Barley</v>
      </c>
      <c r="H306" s="6">
        <f>IFERROR(__xludf.DUMMYFUNCTION("""COMPUTED_VALUE"""),24200.0)</f>
        <v>24200</v>
      </c>
      <c r="I306" s="7">
        <f>IFERROR(__xludf.DUMMYFUNCTION("""COMPUTED_VALUE"""),44974.0)</f>
        <v>44974</v>
      </c>
      <c r="J306" s="7">
        <f>IFERROR(__xludf.DUMMYFUNCTION("""COMPUTED_VALUE"""),44986.0)</f>
        <v>44986</v>
      </c>
      <c r="K306" s="5" t="str">
        <f>IFERROR(__xludf.DUMMYFUNCTION("""COMPUTED_VALUE"""),"upper-middle-income")</f>
        <v>upper-middle-income</v>
      </c>
      <c r="L306" s="5" t="str">
        <f>IFERROR(__xludf.DUMMYFUNCTION("""COMPUTED_VALUE"""),"Malta")</f>
        <v>Malta</v>
      </c>
      <c r="M306" s="5" t="str">
        <f>IFERROR(__xludf.DUMMYFUNCTION("""COMPUTED_VALUE"""),"Europe &amp; Central Asia")</f>
        <v>Europe &amp; Central Asia</v>
      </c>
      <c r="N306" s="5" t="str">
        <f>IFERROR(__xludf.DUMMYFUNCTION("""COMPUTED_VALUE"""),"Asia-Pacific")</f>
        <v>Asia-Pacific</v>
      </c>
      <c r="O306" s="5" t="str">
        <f>IFERROR(__xludf.DUMMYFUNCTION("""COMPUTED_VALUE"""),"developing")</f>
        <v>developing</v>
      </c>
      <c r="P306" s="5"/>
      <c r="Q306" s="5"/>
    </row>
    <row r="307">
      <c r="A307" s="5" t="str">
        <f>IFERROR(__xludf.DUMMYFUNCTION("""COMPUTED_VALUE"""),"Outbound")</f>
        <v>Outbound</v>
      </c>
      <c r="B307" s="5">
        <f>IFERROR(__xludf.DUMMYFUNCTION("""COMPUTED_VALUE"""),745.0)</f>
        <v>745</v>
      </c>
      <c r="C307" s="5" t="str">
        <f>IFERROR(__xludf.DUMMYFUNCTION("""COMPUTED_VALUE"""),"POCHARD S")</f>
        <v>POCHARD S</v>
      </c>
      <c r="D307" s="5">
        <f>IFERROR(__xludf.DUMMYFUNCTION("""COMPUTED_VALUE"""),9363314.0)</f>
        <v>9363314</v>
      </c>
      <c r="E307" s="5" t="str">
        <f>IFERROR(__xludf.DUMMYFUNCTION("""COMPUTED_VALUE"""),"Odesa")</f>
        <v>Odesa</v>
      </c>
      <c r="F307" s="5" t="str">
        <f>IFERROR(__xludf.DUMMYFUNCTION("""COMPUTED_VALUE"""),"The Netherlands")</f>
        <v>The Netherlands</v>
      </c>
      <c r="G307" s="5" t="str">
        <f>IFERROR(__xludf.DUMMYFUNCTION("""COMPUTED_VALUE"""),"Soya beans")</f>
        <v>Soya beans</v>
      </c>
      <c r="H307" s="6">
        <f>IFERROR(__xludf.DUMMYFUNCTION("""COMPUTED_VALUE"""),30000.0)</f>
        <v>30000</v>
      </c>
      <c r="I307" s="7">
        <f>IFERROR(__xludf.DUMMYFUNCTION("""COMPUTED_VALUE"""),44973.0)</f>
        <v>44973</v>
      </c>
      <c r="J307" s="7">
        <f>IFERROR(__xludf.DUMMYFUNCTION("""COMPUTED_VALUE"""),44984.0)</f>
        <v>44984</v>
      </c>
      <c r="K307" s="5" t="str">
        <f>IFERROR(__xludf.DUMMYFUNCTION("""COMPUTED_VALUE"""),"high-income")</f>
        <v>high-income</v>
      </c>
      <c r="L307" s="5" t="str">
        <f>IFERROR(__xludf.DUMMYFUNCTION("""COMPUTED_VALUE"""),"Liberia")</f>
        <v>Liberia</v>
      </c>
      <c r="M307" s="5" t="str">
        <f>IFERROR(__xludf.DUMMYFUNCTION("""COMPUTED_VALUE"""),"Europe &amp; Central Asia")</f>
        <v>Europe &amp; Central Asia</v>
      </c>
      <c r="N307" s="5" t="str">
        <f>IFERROR(__xludf.DUMMYFUNCTION("""COMPUTED_VALUE"""),"Western Europe and Others")</f>
        <v>Western Europe and Others</v>
      </c>
      <c r="O307" s="5" t="str">
        <f>IFERROR(__xludf.DUMMYFUNCTION("""COMPUTED_VALUE"""),"developed")</f>
        <v>developed</v>
      </c>
      <c r="P307" s="5"/>
      <c r="Q307" s="5"/>
    </row>
    <row r="308">
      <c r="A308" s="5" t="str">
        <f>IFERROR(__xludf.DUMMYFUNCTION("""COMPUTED_VALUE"""),"Outbound")</f>
        <v>Outbound</v>
      </c>
      <c r="B308" s="5">
        <f>IFERROR(__xludf.DUMMYFUNCTION("""COMPUTED_VALUE"""),744.0)</f>
        <v>744</v>
      </c>
      <c r="C308" s="5" t="str">
        <f>IFERROR(__xludf.DUMMYFUNCTION("""COMPUTED_VALUE"""),"NORD VIND")</f>
        <v>NORD VIND</v>
      </c>
      <c r="D308" s="5">
        <f>IFERROR(__xludf.DUMMYFUNCTION("""COMPUTED_VALUE"""),9573921.0)</f>
        <v>9573921</v>
      </c>
      <c r="E308" s="5" t="str">
        <f>IFERROR(__xludf.DUMMYFUNCTION("""COMPUTED_VALUE"""),"Odesa")</f>
        <v>Odesa</v>
      </c>
      <c r="F308" s="5" t="str">
        <f>IFERROR(__xludf.DUMMYFUNCTION("""COMPUTED_VALUE"""),"Ireland")</f>
        <v>Ireland</v>
      </c>
      <c r="G308" s="5" t="str">
        <f>IFERROR(__xludf.DUMMYFUNCTION("""COMPUTED_VALUE"""),"Corn")</f>
        <v>Corn</v>
      </c>
      <c r="H308" s="6">
        <f>IFERROR(__xludf.DUMMYFUNCTION("""COMPUTED_VALUE"""),27000.0)</f>
        <v>27000</v>
      </c>
      <c r="I308" s="7">
        <f>IFERROR(__xludf.DUMMYFUNCTION("""COMPUTED_VALUE"""),44973.0)</f>
        <v>44973</v>
      </c>
      <c r="J308" s="7">
        <f>IFERROR(__xludf.DUMMYFUNCTION("""COMPUTED_VALUE"""),44983.0)</f>
        <v>44983</v>
      </c>
      <c r="K308" s="5" t="str">
        <f>IFERROR(__xludf.DUMMYFUNCTION("""COMPUTED_VALUE"""),"high-income")</f>
        <v>high-income</v>
      </c>
      <c r="L308" s="5" t="str">
        <f>IFERROR(__xludf.DUMMYFUNCTION("""COMPUTED_VALUE"""),"Barbados")</f>
        <v>Barbados</v>
      </c>
      <c r="M308" s="5" t="str">
        <f>IFERROR(__xludf.DUMMYFUNCTION("""COMPUTED_VALUE"""),"Europe &amp; Central Asia")</f>
        <v>Europe &amp; Central Asia</v>
      </c>
      <c r="N308" s="5" t="str">
        <f>IFERROR(__xludf.DUMMYFUNCTION("""COMPUTED_VALUE"""),"Western Europe and Others")</f>
        <v>Western Europe and Others</v>
      </c>
      <c r="O308" s="5" t="str">
        <f>IFERROR(__xludf.DUMMYFUNCTION("""COMPUTED_VALUE"""),"developed")</f>
        <v>developed</v>
      </c>
      <c r="P308" s="5"/>
      <c r="Q308" s="5"/>
    </row>
    <row r="309">
      <c r="A309" s="5" t="str">
        <f>IFERROR(__xludf.DUMMYFUNCTION("""COMPUTED_VALUE"""),"Outbound")</f>
        <v>Outbound</v>
      </c>
      <c r="B309" s="5">
        <f>IFERROR(__xludf.DUMMYFUNCTION("""COMPUTED_VALUE"""),743.0)</f>
        <v>743</v>
      </c>
      <c r="C309" s="5" t="str">
        <f>IFERROR(__xludf.DUMMYFUNCTION("""COMPUTED_VALUE"""),"RISING EAGLE")</f>
        <v>RISING EAGLE</v>
      </c>
      <c r="D309" s="5">
        <f>IFERROR(__xludf.DUMMYFUNCTION("""COMPUTED_VALUE"""),9073672.0)</f>
        <v>9073672</v>
      </c>
      <c r="E309" s="5" t="str">
        <f>IFERROR(__xludf.DUMMYFUNCTION("""COMPUTED_VALUE"""),"Chornomorsk")</f>
        <v>Chornomorsk</v>
      </c>
      <c r="F309" s="5" t="str">
        <f>IFERROR(__xludf.DUMMYFUNCTION("""COMPUTED_VALUE"""),"Tunisia")</f>
        <v>Tunisia</v>
      </c>
      <c r="G309" s="5" t="str">
        <f>IFERROR(__xludf.DUMMYFUNCTION("""COMPUTED_VALUE"""),"Wheat")</f>
        <v>Wheat</v>
      </c>
      <c r="H309" s="6">
        <f>IFERROR(__xludf.DUMMYFUNCTION("""COMPUTED_VALUE"""),25500.0)</f>
        <v>25500</v>
      </c>
      <c r="I309" s="7">
        <f>IFERROR(__xludf.DUMMYFUNCTION("""COMPUTED_VALUE"""),44972.0)</f>
        <v>44972</v>
      </c>
      <c r="J309" s="7">
        <f>IFERROR(__xludf.DUMMYFUNCTION("""COMPUTED_VALUE"""),44986.0)</f>
        <v>44986</v>
      </c>
      <c r="K309" s="5" t="str">
        <f>IFERROR(__xludf.DUMMYFUNCTION("""COMPUTED_VALUE"""),"lower-middle income")</f>
        <v>lower-middle income</v>
      </c>
      <c r="L309" s="5" t="str">
        <f>IFERROR(__xludf.DUMMYFUNCTION("""COMPUTED_VALUE"""),"St Vincent")</f>
        <v>St Vincent</v>
      </c>
      <c r="M309" s="5" t="str">
        <f>IFERROR(__xludf.DUMMYFUNCTION("""COMPUTED_VALUE"""),"Middle East &amp; North Africa")</f>
        <v>Middle East &amp; North Africa</v>
      </c>
      <c r="N309" s="5" t="str">
        <f>IFERROR(__xludf.DUMMYFUNCTION("""COMPUTED_VALUE"""),"Africa")</f>
        <v>Africa</v>
      </c>
      <c r="O309" s="5" t="str">
        <f>IFERROR(__xludf.DUMMYFUNCTION("""COMPUTED_VALUE"""),"developing")</f>
        <v>developing</v>
      </c>
      <c r="P309" s="5"/>
      <c r="Q309" s="5"/>
    </row>
    <row r="310">
      <c r="A310" s="5" t="str">
        <f>IFERROR(__xludf.DUMMYFUNCTION("""COMPUTED_VALUE"""),"Outbound")</f>
        <v>Outbound</v>
      </c>
      <c r="B310" s="5">
        <f>IFERROR(__xludf.DUMMYFUNCTION("""COMPUTED_VALUE"""),742.0)</f>
        <v>742</v>
      </c>
      <c r="C310" s="5" t="str">
        <f>IFERROR(__xludf.DUMMYFUNCTION("""COMPUTED_VALUE"""),"NIZAR")</f>
        <v>NIZAR</v>
      </c>
      <c r="D310" s="5">
        <f>IFERROR(__xludf.DUMMYFUNCTION("""COMPUTED_VALUE"""),8324751.0)</f>
        <v>8324751</v>
      </c>
      <c r="E310" s="5" t="str">
        <f>IFERROR(__xludf.DUMMYFUNCTION("""COMPUTED_VALUE"""),"Yuzhny/Pivdennyi")</f>
        <v>Yuzhny/Pivdennyi</v>
      </c>
      <c r="F310" s="5" t="str">
        <f>IFERROR(__xludf.DUMMYFUNCTION("""COMPUTED_VALUE"""),"Türkiye")</f>
        <v>Türkiye</v>
      </c>
      <c r="G310" s="5" t="str">
        <f>IFERROR(__xludf.DUMMYFUNCTION("""COMPUTED_VALUE"""),"Sunflower meal")</f>
        <v>Sunflower meal</v>
      </c>
      <c r="H310" s="6">
        <f>IFERROR(__xludf.DUMMYFUNCTION("""COMPUTED_VALUE"""),3730.0)</f>
        <v>3730</v>
      </c>
      <c r="I310" s="7">
        <f>IFERROR(__xludf.DUMMYFUNCTION("""COMPUTED_VALUE"""),44972.0)</f>
        <v>44972</v>
      </c>
      <c r="J310" s="7">
        <f>IFERROR(__xludf.DUMMYFUNCTION("""COMPUTED_VALUE"""),44984.0)</f>
        <v>44984</v>
      </c>
      <c r="K310" s="5" t="str">
        <f>IFERROR(__xludf.DUMMYFUNCTION("""COMPUTED_VALUE"""),"upper-middle-income")</f>
        <v>upper-middle-income</v>
      </c>
      <c r="L310" s="5" t="str">
        <f>IFERROR(__xludf.DUMMYFUNCTION("""COMPUTED_VALUE"""),"Sierra Leone")</f>
        <v>Sierra Leone</v>
      </c>
      <c r="M310" s="5" t="str">
        <f>IFERROR(__xludf.DUMMYFUNCTION("""COMPUTED_VALUE"""),"Europe &amp; Central Asia")</f>
        <v>Europe &amp; Central Asia</v>
      </c>
      <c r="N310" s="5" t="str">
        <f>IFERROR(__xludf.DUMMYFUNCTION("""COMPUTED_VALUE"""),"Asia-Pacific")</f>
        <v>Asia-Pacific</v>
      </c>
      <c r="O310" s="5" t="str">
        <f>IFERROR(__xludf.DUMMYFUNCTION("""COMPUTED_VALUE"""),"developing")</f>
        <v>developing</v>
      </c>
      <c r="P310" s="5"/>
      <c r="Q310" s="5"/>
    </row>
    <row r="311">
      <c r="A311" s="5" t="str">
        <f>IFERROR(__xludf.DUMMYFUNCTION("""COMPUTED_VALUE"""),"Outbound")</f>
        <v>Outbound</v>
      </c>
      <c r="B311" s="5">
        <f>IFERROR(__xludf.DUMMYFUNCTION("""COMPUTED_VALUE"""),741.0)</f>
        <v>741</v>
      </c>
      <c r="C311" s="5" t="str">
        <f>IFERROR(__xludf.DUMMYFUNCTION("""COMPUTED_VALUE"""),"INCE MARMARA")</f>
        <v>INCE MARMARA</v>
      </c>
      <c r="D311" s="5">
        <f>IFERROR(__xludf.DUMMYFUNCTION("""COMPUTED_VALUE"""),9832690.0)</f>
        <v>9832690</v>
      </c>
      <c r="E311" s="5" t="str">
        <f>IFERROR(__xludf.DUMMYFUNCTION("""COMPUTED_VALUE"""),"Yuzhny/Pivdennyi")</f>
        <v>Yuzhny/Pivdennyi</v>
      </c>
      <c r="F311" s="5" t="str">
        <f>IFERROR(__xludf.DUMMYFUNCTION("""COMPUTED_VALUE"""),"Bangladesh")</f>
        <v>Bangladesh</v>
      </c>
      <c r="G311" s="5" t="str">
        <f>IFERROR(__xludf.DUMMYFUNCTION("""COMPUTED_VALUE"""),"Wheat")</f>
        <v>Wheat</v>
      </c>
      <c r="H311" s="6">
        <f>IFERROR(__xludf.DUMMYFUNCTION("""COMPUTED_VALUE"""),58630.0)</f>
        <v>58630</v>
      </c>
      <c r="I311" s="7">
        <f>IFERROR(__xludf.DUMMYFUNCTION("""COMPUTED_VALUE"""),44972.0)</f>
        <v>44972</v>
      </c>
      <c r="J311" s="7">
        <f>IFERROR(__xludf.DUMMYFUNCTION("""COMPUTED_VALUE"""),44985.0)</f>
        <v>44985</v>
      </c>
      <c r="K311" s="5" t="str">
        <f>IFERROR(__xludf.DUMMYFUNCTION("""COMPUTED_VALUE"""),"lower-middle income")</f>
        <v>lower-middle income</v>
      </c>
      <c r="L311" s="5" t="str">
        <f>IFERROR(__xludf.DUMMYFUNCTION("""COMPUTED_VALUE"""),"Panama")</f>
        <v>Panama</v>
      </c>
      <c r="M311" s="5" t="str">
        <f>IFERROR(__xludf.DUMMYFUNCTION("""COMPUTED_VALUE"""),"South Asia")</f>
        <v>South Asia</v>
      </c>
      <c r="N311" s="5" t="str">
        <f>IFERROR(__xludf.DUMMYFUNCTION("""COMPUTED_VALUE"""),"Asia-Pacific")</f>
        <v>Asia-Pacific</v>
      </c>
      <c r="O311" s="5" t="str">
        <f>IFERROR(__xludf.DUMMYFUNCTION("""COMPUTED_VALUE"""),"developing")</f>
        <v>developing</v>
      </c>
      <c r="P311" s="5"/>
      <c r="Q311" s="5"/>
    </row>
    <row r="312">
      <c r="A312" s="5" t="str">
        <f>IFERROR(__xludf.DUMMYFUNCTION("""COMPUTED_VALUE"""),"Outbound")</f>
        <v>Outbound</v>
      </c>
      <c r="B312" s="5">
        <f>IFERROR(__xludf.DUMMYFUNCTION("""COMPUTED_VALUE"""),740.0)</f>
        <v>740</v>
      </c>
      <c r="C312" s="5" t="str">
        <f>IFERROR(__xludf.DUMMYFUNCTION("""COMPUTED_VALUE"""),"FORTUNE EXPRESS")</f>
        <v>FORTUNE EXPRESS</v>
      </c>
      <c r="D312" s="5">
        <f>IFERROR(__xludf.DUMMYFUNCTION("""COMPUTED_VALUE"""),9181728.0)</f>
        <v>9181728</v>
      </c>
      <c r="E312" s="5" t="str">
        <f>IFERROR(__xludf.DUMMYFUNCTION("""COMPUTED_VALUE"""),"Chornomorsk")</f>
        <v>Chornomorsk</v>
      </c>
      <c r="F312" s="5" t="str">
        <f>IFERROR(__xludf.DUMMYFUNCTION("""COMPUTED_VALUE"""),"Italy")</f>
        <v>Italy</v>
      </c>
      <c r="G312" s="5" t="str">
        <f>IFERROR(__xludf.DUMMYFUNCTION("""COMPUTED_VALUE"""),"Corn")</f>
        <v>Corn</v>
      </c>
      <c r="H312" s="6">
        <f>IFERROR(__xludf.DUMMYFUNCTION("""COMPUTED_VALUE"""),28000.0)</f>
        <v>28000</v>
      </c>
      <c r="I312" s="7">
        <f>IFERROR(__xludf.DUMMYFUNCTION("""COMPUTED_VALUE"""),44972.0)</f>
        <v>44972</v>
      </c>
      <c r="J312" s="7">
        <f>IFERROR(__xludf.DUMMYFUNCTION("""COMPUTED_VALUE"""),44978.0)</f>
        <v>44978</v>
      </c>
      <c r="K312" s="5" t="str">
        <f>IFERROR(__xludf.DUMMYFUNCTION("""COMPUTED_VALUE"""),"high-income")</f>
        <v>high-income</v>
      </c>
      <c r="L312" s="5" t="str">
        <f>IFERROR(__xludf.DUMMYFUNCTION("""COMPUTED_VALUE"""),"Türkiye")</f>
        <v>Türkiye</v>
      </c>
      <c r="M312" s="5" t="str">
        <f>IFERROR(__xludf.DUMMYFUNCTION("""COMPUTED_VALUE"""),"Europe &amp; Central Asia")</f>
        <v>Europe &amp; Central Asia</v>
      </c>
      <c r="N312" s="5" t="str">
        <f>IFERROR(__xludf.DUMMYFUNCTION("""COMPUTED_VALUE"""),"Western Europe and Others")</f>
        <v>Western Europe and Others</v>
      </c>
      <c r="O312" s="5" t="str">
        <f>IFERROR(__xludf.DUMMYFUNCTION("""COMPUTED_VALUE"""),"developed")</f>
        <v>developed</v>
      </c>
      <c r="P312" s="5"/>
      <c r="Q312" s="5"/>
    </row>
    <row r="313">
      <c r="A313" s="5" t="str">
        <f>IFERROR(__xludf.DUMMYFUNCTION("""COMPUTED_VALUE"""),"Outbound")</f>
        <v>Outbound</v>
      </c>
      <c r="B313" s="5">
        <f>IFERROR(__xludf.DUMMYFUNCTION("""COMPUTED_VALUE"""),739.0)</f>
        <v>739</v>
      </c>
      <c r="C313" s="5" t="str">
        <f>IFERROR(__xludf.DUMMYFUNCTION("""COMPUTED_VALUE"""),"DANAE")</f>
        <v>DANAE</v>
      </c>
      <c r="D313" s="5">
        <f>IFERROR(__xludf.DUMMYFUNCTION("""COMPUTED_VALUE"""),9926271.0)</f>
        <v>9926271</v>
      </c>
      <c r="E313" s="5" t="str">
        <f>IFERROR(__xludf.DUMMYFUNCTION("""COMPUTED_VALUE"""),"Odesa")</f>
        <v>Odesa</v>
      </c>
      <c r="F313" s="5" t="str">
        <f>IFERROR(__xludf.DUMMYFUNCTION("""COMPUTED_VALUE"""),"United Kingdom")</f>
        <v>United Kingdom</v>
      </c>
      <c r="G313" s="5" t="str">
        <f>IFERROR(__xludf.DUMMYFUNCTION("""COMPUTED_VALUE"""),"Corn")</f>
        <v>Corn</v>
      </c>
      <c r="H313" s="6">
        <f>IFERROR(__xludf.DUMMYFUNCTION("""COMPUTED_VALUE"""),32988.0)</f>
        <v>32988</v>
      </c>
      <c r="I313" s="7">
        <f>IFERROR(__xludf.DUMMYFUNCTION("""COMPUTED_VALUE"""),44972.0)</f>
        <v>44972</v>
      </c>
      <c r="J313" s="7">
        <f>IFERROR(__xludf.DUMMYFUNCTION("""COMPUTED_VALUE"""),44982.0)</f>
        <v>44982</v>
      </c>
      <c r="K313" s="5" t="str">
        <f>IFERROR(__xludf.DUMMYFUNCTION("""COMPUTED_VALUE"""),"high-income")</f>
        <v>high-income</v>
      </c>
      <c r="L313" s="5" t="str">
        <f>IFERROR(__xludf.DUMMYFUNCTION("""COMPUTED_VALUE"""),"Liberia")</f>
        <v>Liberia</v>
      </c>
      <c r="M313" s="5" t="str">
        <f>IFERROR(__xludf.DUMMYFUNCTION("""COMPUTED_VALUE"""),"Europe &amp; Central Asia")</f>
        <v>Europe &amp; Central Asia</v>
      </c>
      <c r="N313" s="5" t="str">
        <f>IFERROR(__xludf.DUMMYFUNCTION("""COMPUTED_VALUE"""),"Western Europe and Others")</f>
        <v>Western Europe and Others</v>
      </c>
      <c r="O313" s="5" t="str">
        <f>IFERROR(__xludf.DUMMYFUNCTION("""COMPUTED_VALUE"""),"developed")</f>
        <v>developed</v>
      </c>
      <c r="P313" s="5"/>
      <c r="Q313" s="5"/>
    </row>
    <row r="314">
      <c r="A314" s="5" t="str">
        <f>IFERROR(__xludf.DUMMYFUNCTION("""COMPUTED_VALUE"""),"Outbound")</f>
        <v>Outbound</v>
      </c>
      <c r="B314" s="5">
        <f>IFERROR(__xludf.DUMMYFUNCTION("""COMPUTED_VALUE"""),738.0)</f>
        <v>738</v>
      </c>
      <c r="C314" s="5" t="str">
        <f>IFERROR(__xludf.DUMMYFUNCTION("""COMPUTED_VALUE"""),"AKSON SARA")</f>
        <v>AKSON SARA</v>
      </c>
      <c r="D314" s="5">
        <f>IFERROR(__xludf.DUMMYFUNCTION("""COMPUTED_VALUE"""),9475739.0)</f>
        <v>9475739</v>
      </c>
      <c r="E314" s="5" t="str">
        <f>IFERROR(__xludf.DUMMYFUNCTION("""COMPUTED_VALUE"""),"Yuzhny/Pivdennyi")</f>
        <v>Yuzhny/Pivdennyi</v>
      </c>
      <c r="F314" s="5" t="str">
        <f>IFERROR(__xludf.DUMMYFUNCTION("""COMPUTED_VALUE"""),"Spain")</f>
        <v>Spain</v>
      </c>
      <c r="G314" s="5" t="str">
        <f>IFERROR(__xludf.DUMMYFUNCTION("""COMPUTED_VALUE"""),"Corn")</f>
        <v>Corn</v>
      </c>
      <c r="H314" s="6">
        <f>IFERROR(__xludf.DUMMYFUNCTION("""COMPUTED_VALUE"""),29226.0)</f>
        <v>29226</v>
      </c>
      <c r="I314" s="7">
        <f>IFERROR(__xludf.DUMMYFUNCTION("""COMPUTED_VALUE"""),44972.0)</f>
        <v>44972</v>
      </c>
      <c r="J314" s="7">
        <f>IFERROR(__xludf.DUMMYFUNCTION("""COMPUTED_VALUE"""),44983.0)</f>
        <v>44983</v>
      </c>
      <c r="K314" s="5" t="str">
        <f>IFERROR(__xludf.DUMMYFUNCTION("""COMPUTED_VALUE"""),"high-income")</f>
        <v>high-income</v>
      </c>
      <c r="L314" s="5" t="str">
        <f>IFERROR(__xludf.DUMMYFUNCTION("""COMPUTED_VALUE"""),"Panama")</f>
        <v>Panama</v>
      </c>
      <c r="M314" s="5" t="str">
        <f>IFERROR(__xludf.DUMMYFUNCTION("""COMPUTED_VALUE"""),"Europe &amp; Central Asia")</f>
        <v>Europe &amp; Central Asia</v>
      </c>
      <c r="N314" s="5" t="str">
        <f>IFERROR(__xludf.DUMMYFUNCTION("""COMPUTED_VALUE"""),"Western Europe and Others")</f>
        <v>Western Europe and Others</v>
      </c>
      <c r="O314" s="5" t="str">
        <f>IFERROR(__xludf.DUMMYFUNCTION("""COMPUTED_VALUE"""),"developed")</f>
        <v>developed</v>
      </c>
      <c r="P314" s="5"/>
      <c r="Q314" s="5"/>
    </row>
    <row r="315">
      <c r="A315" s="5" t="str">
        <f>IFERROR(__xludf.DUMMYFUNCTION("""COMPUTED_VALUE"""),"Outbound")</f>
        <v>Outbound</v>
      </c>
      <c r="B315" s="5">
        <f>IFERROR(__xludf.DUMMYFUNCTION("""COMPUTED_VALUE"""),737.0)</f>
        <v>737</v>
      </c>
      <c r="C315" s="5" t="str">
        <f>IFERROR(__xludf.DUMMYFUNCTION("""COMPUTED_VALUE"""),"SEA MAJESTIC")</f>
        <v>SEA MAJESTIC</v>
      </c>
      <c r="D315" s="5">
        <f>IFERROR(__xludf.DUMMYFUNCTION("""COMPUTED_VALUE"""),9391153.0)</f>
        <v>9391153</v>
      </c>
      <c r="E315" s="5" t="str">
        <f>IFERROR(__xludf.DUMMYFUNCTION("""COMPUTED_VALUE"""),"Chornomorsk")</f>
        <v>Chornomorsk</v>
      </c>
      <c r="F315" s="5" t="str">
        <f>IFERROR(__xludf.DUMMYFUNCTION("""COMPUTED_VALUE"""),"India")</f>
        <v>India</v>
      </c>
      <c r="G315" s="5" t="str">
        <f>IFERROR(__xludf.DUMMYFUNCTION("""COMPUTED_VALUE"""),"Sunflower oil")</f>
        <v>Sunflower oil</v>
      </c>
      <c r="H315" s="6">
        <f>IFERROR(__xludf.DUMMYFUNCTION("""COMPUTED_VALUE"""),19176.0)</f>
        <v>19176</v>
      </c>
      <c r="I315" s="7">
        <f>IFERROR(__xludf.DUMMYFUNCTION("""COMPUTED_VALUE"""),44971.0)</f>
        <v>44971</v>
      </c>
      <c r="J315" s="7">
        <f>IFERROR(__xludf.DUMMYFUNCTION("""COMPUTED_VALUE"""),44976.0)</f>
        <v>44976</v>
      </c>
      <c r="K315" s="5" t="str">
        <f>IFERROR(__xludf.DUMMYFUNCTION("""COMPUTED_VALUE"""),"lower-middle income")</f>
        <v>lower-middle income</v>
      </c>
      <c r="L315" s="5" t="str">
        <f>IFERROR(__xludf.DUMMYFUNCTION("""COMPUTED_VALUE"""),"Liberia")</f>
        <v>Liberia</v>
      </c>
      <c r="M315" s="5" t="str">
        <f>IFERROR(__xludf.DUMMYFUNCTION("""COMPUTED_VALUE"""),"South Asia")</f>
        <v>South Asia</v>
      </c>
      <c r="N315" s="5" t="str">
        <f>IFERROR(__xludf.DUMMYFUNCTION("""COMPUTED_VALUE"""),"Asia-Pacific")</f>
        <v>Asia-Pacific</v>
      </c>
      <c r="O315" s="5" t="str">
        <f>IFERROR(__xludf.DUMMYFUNCTION("""COMPUTED_VALUE"""),"developing")</f>
        <v>developing</v>
      </c>
      <c r="P315" s="5"/>
      <c r="Q315" s="5"/>
    </row>
    <row r="316">
      <c r="A316" s="5" t="str">
        <f>IFERROR(__xludf.DUMMYFUNCTION("""COMPUTED_VALUE"""),"Outbound")</f>
        <v>Outbound</v>
      </c>
      <c r="B316" s="5">
        <f>IFERROR(__xludf.DUMMYFUNCTION("""COMPUTED_VALUE"""),736.0)</f>
        <v>736</v>
      </c>
      <c r="C316" s="5" t="str">
        <f>IFERROR(__xludf.DUMMYFUNCTION("""COMPUTED_VALUE"""),"LILA SEOUL")</f>
        <v>LILA SEOUL</v>
      </c>
      <c r="D316" s="5">
        <f>IFERROR(__xludf.DUMMYFUNCTION("""COMPUTED_VALUE"""),9566837.0)</f>
        <v>9566837</v>
      </c>
      <c r="E316" s="5" t="str">
        <f>IFERROR(__xludf.DUMMYFUNCTION("""COMPUTED_VALUE"""),"Chornomorsk")</f>
        <v>Chornomorsk</v>
      </c>
      <c r="F316" s="5" t="str">
        <f>IFERROR(__xludf.DUMMYFUNCTION("""COMPUTED_VALUE"""),"China")</f>
        <v>China</v>
      </c>
      <c r="G316" s="5" t="str">
        <f>IFERROR(__xludf.DUMMYFUNCTION("""COMPUTED_VALUE"""),"Sunflower meal")</f>
        <v>Sunflower meal</v>
      </c>
      <c r="H316" s="6">
        <f>IFERROR(__xludf.DUMMYFUNCTION("""COMPUTED_VALUE"""),62747.0)</f>
        <v>62747</v>
      </c>
      <c r="I316" s="7">
        <f>IFERROR(__xludf.DUMMYFUNCTION("""COMPUTED_VALUE"""),44971.0)</f>
        <v>44971</v>
      </c>
      <c r="J316" s="7">
        <f>IFERROR(__xludf.DUMMYFUNCTION("""COMPUTED_VALUE"""),44976.0)</f>
        <v>44976</v>
      </c>
      <c r="K316" s="5" t="str">
        <f>IFERROR(__xludf.DUMMYFUNCTION("""COMPUTED_VALUE"""),"upper-middle-income")</f>
        <v>upper-middle-income</v>
      </c>
      <c r="L316" s="5" t="str">
        <f>IFERROR(__xludf.DUMMYFUNCTION("""COMPUTED_VALUE"""),"Liberia")</f>
        <v>Liberia</v>
      </c>
      <c r="M316" s="5" t="str">
        <f>IFERROR(__xludf.DUMMYFUNCTION("""COMPUTED_VALUE"""),"East Asia &amp; Pacific")</f>
        <v>East Asia &amp; Pacific</v>
      </c>
      <c r="N316" s="5" t="str">
        <f>IFERROR(__xludf.DUMMYFUNCTION("""COMPUTED_VALUE"""),"Asia-Pacific")</f>
        <v>Asia-Pacific</v>
      </c>
      <c r="O316" s="5" t="str">
        <f>IFERROR(__xludf.DUMMYFUNCTION("""COMPUTED_VALUE"""),"developing")</f>
        <v>developing</v>
      </c>
      <c r="P316" s="5"/>
      <c r="Q316" s="5"/>
    </row>
    <row r="317">
      <c r="A317" s="5" t="str">
        <f>IFERROR(__xludf.DUMMYFUNCTION("""COMPUTED_VALUE"""),"Outbound")</f>
        <v>Outbound</v>
      </c>
      <c r="B317" s="5">
        <f>IFERROR(__xludf.DUMMYFUNCTION("""COMPUTED_VALUE"""),735.0)</f>
        <v>735</v>
      </c>
      <c r="C317" s="5" t="str">
        <f>IFERROR(__xludf.DUMMYFUNCTION("""COMPUTED_VALUE"""),"NEPTULUS")</f>
        <v>NEPTULUS</v>
      </c>
      <c r="D317" s="5">
        <f>IFERROR(__xludf.DUMMYFUNCTION("""COMPUTED_VALUE"""),9473705.0)</f>
        <v>9473705</v>
      </c>
      <c r="E317" s="5" t="str">
        <f>IFERROR(__xludf.DUMMYFUNCTION("""COMPUTED_VALUE"""),"Yuzhny/Pivdennyi")</f>
        <v>Yuzhny/Pivdennyi</v>
      </c>
      <c r="F317" s="5" t="str">
        <f>IFERROR(__xludf.DUMMYFUNCTION("""COMPUTED_VALUE"""),"The Netherlands")</f>
        <v>The Netherlands</v>
      </c>
      <c r="G317" s="5" t="str">
        <f>IFERROR(__xludf.DUMMYFUNCTION("""COMPUTED_VALUE"""),"Soya beans")</f>
        <v>Soya beans</v>
      </c>
      <c r="H317" s="6">
        <f>IFERROR(__xludf.DUMMYFUNCTION("""COMPUTED_VALUE"""),31534.0)</f>
        <v>31534</v>
      </c>
      <c r="I317" s="7">
        <f>IFERROR(__xludf.DUMMYFUNCTION("""COMPUTED_VALUE"""),44970.0)</f>
        <v>44970</v>
      </c>
      <c r="J317" s="7">
        <f>IFERROR(__xludf.DUMMYFUNCTION("""COMPUTED_VALUE"""),44976.0)</f>
        <v>44976</v>
      </c>
      <c r="K317" s="5" t="str">
        <f>IFERROR(__xludf.DUMMYFUNCTION("""COMPUTED_VALUE"""),"high-income")</f>
        <v>high-income</v>
      </c>
      <c r="L317" s="5" t="str">
        <f>IFERROR(__xludf.DUMMYFUNCTION("""COMPUTED_VALUE"""),"Marshall Islands")</f>
        <v>Marshall Islands</v>
      </c>
      <c r="M317" s="5" t="str">
        <f>IFERROR(__xludf.DUMMYFUNCTION("""COMPUTED_VALUE"""),"Europe &amp; Central Asia")</f>
        <v>Europe &amp; Central Asia</v>
      </c>
      <c r="N317" s="5" t="str">
        <f>IFERROR(__xludf.DUMMYFUNCTION("""COMPUTED_VALUE"""),"Western Europe and Others")</f>
        <v>Western Europe and Others</v>
      </c>
      <c r="O317" s="5" t="str">
        <f>IFERROR(__xludf.DUMMYFUNCTION("""COMPUTED_VALUE"""),"developed")</f>
        <v>developed</v>
      </c>
      <c r="P317" s="5"/>
      <c r="Q317" s="5"/>
    </row>
    <row r="318">
      <c r="A318" s="5" t="str">
        <f>IFERROR(__xludf.DUMMYFUNCTION("""COMPUTED_VALUE"""),"Outbound")</f>
        <v>Outbound</v>
      </c>
      <c r="B318" s="5">
        <f>IFERROR(__xludf.DUMMYFUNCTION("""COMPUTED_VALUE"""),734.0)</f>
        <v>734</v>
      </c>
      <c r="C318" s="5" t="str">
        <f>IFERROR(__xludf.DUMMYFUNCTION("""COMPUTED_VALUE"""),"EIDER S")</f>
        <v>EIDER S</v>
      </c>
      <c r="D318" s="5">
        <f>IFERROR(__xludf.DUMMYFUNCTION("""COMPUTED_VALUE"""),9364784.0)</f>
        <v>9364784</v>
      </c>
      <c r="E318" s="5" t="str">
        <f>IFERROR(__xludf.DUMMYFUNCTION("""COMPUTED_VALUE"""),"Odesa")</f>
        <v>Odesa</v>
      </c>
      <c r="F318" s="5" t="str">
        <f>IFERROR(__xludf.DUMMYFUNCTION("""COMPUTED_VALUE"""),"Israel")</f>
        <v>Israel</v>
      </c>
      <c r="G318" s="5" t="str">
        <f>IFERROR(__xludf.DUMMYFUNCTION("""COMPUTED_VALUE"""),"Corn")</f>
        <v>Corn</v>
      </c>
      <c r="H318" s="6">
        <f>IFERROR(__xludf.DUMMYFUNCTION("""COMPUTED_VALUE"""),50000.0)</f>
        <v>50000</v>
      </c>
      <c r="I318" s="7">
        <f>IFERROR(__xludf.DUMMYFUNCTION("""COMPUTED_VALUE"""),44970.0)</f>
        <v>44970</v>
      </c>
      <c r="J318" s="7">
        <f>IFERROR(__xludf.DUMMYFUNCTION("""COMPUTED_VALUE"""),44976.0)</f>
        <v>44976</v>
      </c>
      <c r="K318" s="5" t="str">
        <f>IFERROR(__xludf.DUMMYFUNCTION("""COMPUTED_VALUE"""),"high-income")</f>
        <v>high-income</v>
      </c>
      <c r="L318" s="5" t="str">
        <f>IFERROR(__xludf.DUMMYFUNCTION("""COMPUTED_VALUE"""),"Liberia")</f>
        <v>Liberia</v>
      </c>
      <c r="M318" s="5" t="str">
        <f>IFERROR(__xludf.DUMMYFUNCTION("""COMPUTED_VALUE"""),"Middle East &amp; North Africa")</f>
        <v>Middle East &amp; North Africa</v>
      </c>
      <c r="N318" s="5" t="str">
        <f>IFERROR(__xludf.DUMMYFUNCTION("""COMPUTED_VALUE"""),"Western Europe and Others")</f>
        <v>Western Europe and Others</v>
      </c>
      <c r="O318" s="5" t="str">
        <f>IFERROR(__xludf.DUMMYFUNCTION("""COMPUTED_VALUE"""),"developed")</f>
        <v>developed</v>
      </c>
      <c r="P318" s="5"/>
      <c r="Q318" s="5"/>
    </row>
    <row r="319">
      <c r="A319" s="5" t="str">
        <f>IFERROR(__xludf.DUMMYFUNCTION("""COMPUTED_VALUE"""),"Outbound")</f>
        <v>Outbound</v>
      </c>
      <c r="B319" s="5">
        <f>IFERROR(__xludf.DUMMYFUNCTION("""COMPUTED_VALUE"""),733.0)</f>
        <v>733</v>
      </c>
      <c r="C319" s="5" t="str">
        <f>IFERROR(__xludf.DUMMYFUNCTION("""COMPUTED_VALUE"""),"PLEVNE")</f>
        <v>PLEVNE</v>
      </c>
      <c r="D319" s="5">
        <f>IFERROR(__xludf.DUMMYFUNCTION("""COMPUTED_VALUE"""),9340908.0)</f>
        <v>9340908</v>
      </c>
      <c r="E319" s="5" t="str">
        <f>IFERROR(__xludf.DUMMYFUNCTION("""COMPUTED_VALUE"""),"Odesa")</f>
        <v>Odesa</v>
      </c>
      <c r="F319" s="5" t="str">
        <f>IFERROR(__xludf.DUMMYFUNCTION("""COMPUTED_VALUE"""),"Türkiye")</f>
        <v>Türkiye</v>
      </c>
      <c r="G319" s="5" t="str">
        <f>IFERROR(__xludf.DUMMYFUNCTION("""COMPUTED_VALUE"""),"Sunflower oil")</f>
        <v>Sunflower oil</v>
      </c>
      <c r="H319" s="6">
        <f>IFERROR(__xludf.DUMMYFUNCTION("""COMPUTED_VALUE"""),7250.0)</f>
        <v>7250</v>
      </c>
      <c r="I319" s="7">
        <f>IFERROR(__xludf.DUMMYFUNCTION("""COMPUTED_VALUE"""),44969.0)</f>
        <v>44969</v>
      </c>
      <c r="J319" s="7">
        <f>IFERROR(__xludf.DUMMYFUNCTION("""COMPUTED_VALUE"""),44980.0)</f>
        <v>44980</v>
      </c>
      <c r="K319" s="5" t="str">
        <f>IFERROR(__xludf.DUMMYFUNCTION("""COMPUTED_VALUE"""),"upper-middle-income")</f>
        <v>upper-middle-income</v>
      </c>
      <c r="L319" s="5" t="str">
        <f>IFERROR(__xludf.DUMMYFUNCTION("""COMPUTED_VALUE"""),"Malta")</f>
        <v>Malta</v>
      </c>
      <c r="M319" s="5" t="str">
        <f>IFERROR(__xludf.DUMMYFUNCTION("""COMPUTED_VALUE"""),"Europe &amp; Central Asia")</f>
        <v>Europe &amp; Central Asia</v>
      </c>
      <c r="N319" s="5" t="str">
        <f>IFERROR(__xludf.DUMMYFUNCTION("""COMPUTED_VALUE"""),"Asia-Pacific")</f>
        <v>Asia-Pacific</v>
      </c>
      <c r="O319" s="5" t="str">
        <f>IFERROR(__xludf.DUMMYFUNCTION("""COMPUTED_VALUE"""),"developing")</f>
        <v>developing</v>
      </c>
      <c r="P319" s="5"/>
      <c r="Q319" s="5"/>
    </row>
    <row r="320">
      <c r="A320" s="5" t="str">
        <f>IFERROR(__xludf.DUMMYFUNCTION("""COMPUTED_VALUE"""),"Outbound")</f>
        <v>Outbound</v>
      </c>
      <c r="B320" s="5">
        <f>IFERROR(__xludf.DUMMYFUNCTION("""COMPUTED_VALUE"""),732.0)</f>
        <v>732</v>
      </c>
      <c r="C320" s="5" t="str">
        <f>IFERROR(__xludf.DUMMYFUNCTION("""COMPUTED_VALUE"""),"OCEAN GLSR")</f>
        <v>OCEAN GLSR</v>
      </c>
      <c r="D320" s="5">
        <f>IFERROR(__xludf.DUMMYFUNCTION("""COMPUTED_VALUE"""),9529516.0)</f>
        <v>9529516</v>
      </c>
      <c r="E320" s="5" t="str">
        <f>IFERROR(__xludf.DUMMYFUNCTION("""COMPUTED_VALUE"""),"Yuzhny/Pivdennyi")</f>
        <v>Yuzhny/Pivdennyi</v>
      </c>
      <c r="F320" s="5" t="str">
        <f>IFERROR(__xludf.DUMMYFUNCTION("""COMPUTED_VALUE"""),"Sri Lanka")</f>
        <v>Sri Lanka</v>
      </c>
      <c r="G320" s="5" t="str">
        <f>IFERROR(__xludf.DUMMYFUNCTION("""COMPUTED_VALUE"""),"Wheat")</f>
        <v>Wheat</v>
      </c>
      <c r="H320" s="6">
        <f>IFERROR(__xludf.DUMMYFUNCTION("""COMPUTED_VALUE"""),54268.0)</f>
        <v>54268</v>
      </c>
      <c r="I320" s="7">
        <f>IFERROR(__xludf.DUMMYFUNCTION("""COMPUTED_VALUE"""),44969.0)</f>
        <v>44969</v>
      </c>
      <c r="J320" s="7">
        <f>IFERROR(__xludf.DUMMYFUNCTION("""COMPUTED_VALUE"""),44981.0)</f>
        <v>44981</v>
      </c>
      <c r="K320" s="5" t="str">
        <f>IFERROR(__xludf.DUMMYFUNCTION("""COMPUTED_VALUE"""),"lower-middle income")</f>
        <v>lower-middle income</v>
      </c>
      <c r="L320" s="5" t="str">
        <f>IFERROR(__xludf.DUMMYFUNCTION("""COMPUTED_VALUE"""),"Malta")</f>
        <v>Malta</v>
      </c>
      <c r="M320" s="5" t="str">
        <f>IFERROR(__xludf.DUMMYFUNCTION("""COMPUTED_VALUE"""),"South Asia")</f>
        <v>South Asia</v>
      </c>
      <c r="N320" s="5" t="str">
        <f>IFERROR(__xludf.DUMMYFUNCTION("""COMPUTED_VALUE"""),"Asia-Pacific")</f>
        <v>Asia-Pacific</v>
      </c>
      <c r="O320" s="5" t="str">
        <f>IFERROR(__xludf.DUMMYFUNCTION("""COMPUTED_VALUE"""),"developing")</f>
        <v>developing</v>
      </c>
      <c r="P320" s="5"/>
      <c r="Q320" s="5"/>
    </row>
    <row r="321">
      <c r="A321" s="5" t="str">
        <f>IFERROR(__xludf.DUMMYFUNCTION("""COMPUTED_VALUE"""),"Outbound")</f>
        <v>Outbound</v>
      </c>
      <c r="B321" s="5">
        <f>IFERROR(__xludf.DUMMYFUNCTION("""COMPUTED_VALUE"""),731.0)</f>
        <v>731</v>
      </c>
      <c r="C321" s="5" t="str">
        <f>IFERROR(__xludf.DUMMYFUNCTION("""COMPUTED_VALUE"""),"BASEL ATHENA")</f>
        <v>BASEL ATHENA</v>
      </c>
      <c r="D321" s="5">
        <f>IFERROR(__xludf.DUMMYFUNCTION("""COMPUTED_VALUE"""),9164809.0)</f>
        <v>9164809</v>
      </c>
      <c r="E321" s="5" t="str">
        <f>IFERROR(__xludf.DUMMYFUNCTION("""COMPUTED_VALUE"""),"Chornomorsk")</f>
        <v>Chornomorsk</v>
      </c>
      <c r="F321" s="5" t="str">
        <f>IFERROR(__xludf.DUMMYFUNCTION("""COMPUTED_VALUE"""),"Türkiye")</f>
        <v>Türkiye</v>
      </c>
      <c r="G321" s="5" t="str">
        <f>IFERROR(__xludf.DUMMYFUNCTION("""COMPUTED_VALUE"""),"Wheat")</f>
        <v>Wheat</v>
      </c>
      <c r="H321" s="6">
        <f>IFERROR(__xludf.DUMMYFUNCTION("""COMPUTED_VALUE"""),18538.0)</f>
        <v>18538</v>
      </c>
      <c r="I321" s="7">
        <f>IFERROR(__xludf.DUMMYFUNCTION("""COMPUTED_VALUE"""),44969.0)</f>
        <v>44969</v>
      </c>
      <c r="J321" s="7">
        <f>IFERROR(__xludf.DUMMYFUNCTION("""COMPUTED_VALUE"""),44982.0)</f>
        <v>44982</v>
      </c>
      <c r="K321" s="5" t="str">
        <f>IFERROR(__xludf.DUMMYFUNCTION("""COMPUTED_VALUE"""),"upper-middle-income")</f>
        <v>upper-middle-income</v>
      </c>
      <c r="L321" s="5" t="str">
        <f>IFERROR(__xludf.DUMMYFUNCTION("""COMPUTED_VALUE"""),"Panama")</f>
        <v>Panama</v>
      </c>
      <c r="M321" s="5" t="str">
        <f>IFERROR(__xludf.DUMMYFUNCTION("""COMPUTED_VALUE"""),"Europe &amp; Central Asia")</f>
        <v>Europe &amp; Central Asia</v>
      </c>
      <c r="N321" s="5" t="str">
        <f>IFERROR(__xludf.DUMMYFUNCTION("""COMPUTED_VALUE"""),"Asia-Pacific")</f>
        <v>Asia-Pacific</v>
      </c>
      <c r="O321" s="5" t="str">
        <f>IFERROR(__xludf.DUMMYFUNCTION("""COMPUTED_VALUE"""),"developing")</f>
        <v>developing</v>
      </c>
      <c r="P321" s="5"/>
      <c r="Q321" s="5"/>
    </row>
    <row r="322">
      <c r="A322" s="5" t="str">
        <f>IFERROR(__xludf.DUMMYFUNCTION("""COMPUTED_VALUE"""),"Outbound")</f>
        <v>Outbound</v>
      </c>
      <c r="B322" s="5">
        <f>IFERROR(__xludf.DUMMYFUNCTION("""COMPUTED_VALUE"""),730.0)</f>
        <v>730</v>
      </c>
      <c r="C322" s="5" t="str">
        <f>IFERROR(__xludf.DUMMYFUNCTION("""COMPUTED_VALUE"""),"ARGO I")</f>
        <v>ARGO I</v>
      </c>
      <c r="D322" s="5">
        <f>IFERROR(__xludf.DUMMYFUNCTION("""COMPUTED_VALUE"""),9583897.0)</f>
        <v>9583897</v>
      </c>
      <c r="E322" s="5" t="str">
        <f>IFERROR(__xludf.DUMMYFUNCTION("""COMPUTED_VALUE"""),"Chornomorsk")</f>
        <v>Chornomorsk</v>
      </c>
      <c r="F322" s="5" t="str">
        <f>IFERROR(__xludf.DUMMYFUNCTION("""COMPUTED_VALUE"""),"Spain")</f>
        <v>Spain</v>
      </c>
      <c r="G322" s="5" t="str">
        <f>IFERROR(__xludf.DUMMYFUNCTION("""COMPUTED_VALUE"""),"Corn")</f>
        <v>Corn</v>
      </c>
      <c r="H322" s="6">
        <f>IFERROR(__xludf.DUMMYFUNCTION("""COMPUTED_VALUE"""),31000.0)</f>
        <v>31000</v>
      </c>
      <c r="I322" s="7">
        <f>IFERROR(__xludf.DUMMYFUNCTION("""COMPUTED_VALUE"""),44969.0)</f>
        <v>44969</v>
      </c>
      <c r="J322" s="7">
        <f>IFERROR(__xludf.DUMMYFUNCTION("""COMPUTED_VALUE"""),44980.0)</f>
        <v>44980</v>
      </c>
      <c r="K322" s="5" t="str">
        <f>IFERROR(__xludf.DUMMYFUNCTION("""COMPUTED_VALUE"""),"high-income")</f>
        <v>high-income</v>
      </c>
      <c r="L322" s="5" t="str">
        <f>IFERROR(__xludf.DUMMYFUNCTION("""COMPUTED_VALUE"""),"Marshall Islands")</f>
        <v>Marshall Islands</v>
      </c>
      <c r="M322" s="5" t="str">
        <f>IFERROR(__xludf.DUMMYFUNCTION("""COMPUTED_VALUE"""),"Europe &amp; Central Asia")</f>
        <v>Europe &amp; Central Asia</v>
      </c>
      <c r="N322" s="5" t="str">
        <f>IFERROR(__xludf.DUMMYFUNCTION("""COMPUTED_VALUE"""),"Western Europe and Others")</f>
        <v>Western Europe and Others</v>
      </c>
      <c r="O322" s="5" t="str">
        <f>IFERROR(__xludf.DUMMYFUNCTION("""COMPUTED_VALUE"""),"developed")</f>
        <v>developed</v>
      </c>
      <c r="P322" s="5"/>
      <c r="Q322" s="5"/>
    </row>
    <row r="323">
      <c r="A323" s="5" t="str">
        <f>IFERROR(__xludf.DUMMYFUNCTION("""COMPUTED_VALUE"""),"Outbound")</f>
        <v>Outbound</v>
      </c>
      <c r="B323" s="5">
        <f>IFERROR(__xludf.DUMMYFUNCTION("""COMPUTED_VALUE"""),729.0)</f>
        <v>729</v>
      </c>
      <c r="C323" s="5" t="str">
        <f>IFERROR(__xludf.DUMMYFUNCTION("""COMPUTED_VALUE"""),"ZHENG JUN")</f>
        <v>ZHENG JUN</v>
      </c>
      <c r="D323" s="5">
        <f>IFERROR(__xludf.DUMMYFUNCTION("""COMPUTED_VALUE"""),9593804.0)</f>
        <v>9593804</v>
      </c>
      <c r="E323" s="5" t="str">
        <f>IFERROR(__xludf.DUMMYFUNCTION("""COMPUTED_VALUE"""),"Odesa")</f>
        <v>Odesa</v>
      </c>
      <c r="F323" s="5" t="str">
        <f>IFERROR(__xludf.DUMMYFUNCTION("""COMPUTED_VALUE"""),"China")</f>
        <v>China</v>
      </c>
      <c r="G323" s="5" t="str">
        <f>IFERROR(__xludf.DUMMYFUNCTION("""COMPUTED_VALUE"""),"Corn")</f>
        <v>Corn</v>
      </c>
      <c r="H323" s="6">
        <f>IFERROR(__xludf.DUMMYFUNCTION("""COMPUTED_VALUE"""),66000.0)</f>
        <v>66000</v>
      </c>
      <c r="I323" s="7">
        <f>IFERROR(__xludf.DUMMYFUNCTION("""COMPUTED_VALUE"""),44968.0)</f>
        <v>44968</v>
      </c>
      <c r="J323" s="7">
        <f>IFERROR(__xludf.DUMMYFUNCTION("""COMPUTED_VALUE"""),44981.0)</f>
        <v>44981</v>
      </c>
      <c r="K323" s="5" t="str">
        <f>IFERROR(__xludf.DUMMYFUNCTION("""COMPUTED_VALUE"""),"upper-middle-income")</f>
        <v>upper-middle-income</v>
      </c>
      <c r="L323" s="5" t="str">
        <f>IFERROR(__xludf.DUMMYFUNCTION("""COMPUTED_VALUE"""),"Panama")</f>
        <v>Panama</v>
      </c>
      <c r="M323" s="5" t="str">
        <f>IFERROR(__xludf.DUMMYFUNCTION("""COMPUTED_VALUE"""),"East Asia &amp; Pacific")</f>
        <v>East Asia &amp; Pacific</v>
      </c>
      <c r="N323" s="5" t="str">
        <f>IFERROR(__xludf.DUMMYFUNCTION("""COMPUTED_VALUE"""),"Asia-Pacific")</f>
        <v>Asia-Pacific</v>
      </c>
      <c r="O323" s="5" t="str">
        <f>IFERROR(__xludf.DUMMYFUNCTION("""COMPUTED_VALUE"""),"developing")</f>
        <v>developing</v>
      </c>
      <c r="P323" s="5"/>
      <c r="Q323" s="5"/>
    </row>
    <row r="324">
      <c r="A324" s="5" t="str">
        <f>IFERROR(__xludf.DUMMYFUNCTION("""COMPUTED_VALUE"""),"Outbound")</f>
        <v>Outbound</v>
      </c>
      <c r="B324" s="5">
        <f>IFERROR(__xludf.DUMMYFUNCTION("""COMPUTED_VALUE"""),728.0)</f>
        <v>728</v>
      </c>
      <c r="C324" s="5" t="str">
        <f>IFERROR(__xludf.DUMMYFUNCTION("""COMPUTED_VALUE"""),"OCEAN S")</f>
        <v>OCEAN S</v>
      </c>
      <c r="D324" s="5">
        <f>IFERROR(__xludf.DUMMYFUNCTION("""COMPUTED_VALUE"""),9086320.0)</f>
        <v>9086320</v>
      </c>
      <c r="E324" s="5" t="str">
        <f>IFERROR(__xludf.DUMMYFUNCTION("""COMPUTED_VALUE"""),"Chornomorsk")</f>
        <v>Chornomorsk</v>
      </c>
      <c r="F324" s="5" t="str">
        <f>IFERROR(__xludf.DUMMYFUNCTION("""COMPUTED_VALUE"""),"Türkiye")</f>
        <v>Türkiye</v>
      </c>
      <c r="G324" s="5" t="str">
        <f>IFERROR(__xludf.DUMMYFUNCTION("""COMPUTED_VALUE"""),"Wheat")</f>
        <v>Wheat</v>
      </c>
      <c r="H324" s="6">
        <f>IFERROR(__xludf.DUMMYFUNCTION("""COMPUTED_VALUE"""),25026.0)</f>
        <v>25026</v>
      </c>
      <c r="I324" s="7">
        <f>IFERROR(__xludf.DUMMYFUNCTION("""COMPUTED_VALUE"""),44968.0)</f>
        <v>44968</v>
      </c>
      <c r="J324" s="7">
        <f>IFERROR(__xludf.DUMMYFUNCTION("""COMPUTED_VALUE"""),44980.0)</f>
        <v>44980</v>
      </c>
      <c r="K324" s="5" t="str">
        <f>IFERROR(__xludf.DUMMYFUNCTION("""COMPUTED_VALUE"""),"upper-middle-income")</f>
        <v>upper-middle-income</v>
      </c>
      <c r="L324" s="5" t="str">
        <f>IFERROR(__xludf.DUMMYFUNCTION("""COMPUTED_VALUE"""),"Liberia")</f>
        <v>Liberia</v>
      </c>
      <c r="M324" s="5" t="str">
        <f>IFERROR(__xludf.DUMMYFUNCTION("""COMPUTED_VALUE"""),"Europe &amp; Central Asia")</f>
        <v>Europe &amp; Central Asia</v>
      </c>
      <c r="N324" s="5" t="str">
        <f>IFERROR(__xludf.DUMMYFUNCTION("""COMPUTED_VALUE"""),"Asia-Pacific")</f>
        <v>Asia-Pacific</v>
      </c>
      <c r="O324" s="5" t="str">
        <f>IFERROR(__xludf.DUMMYFUNCTION("""COMPUTED_VALUE"""),"developing")</f>
        <v>developing</v>
      </c>
      <c r="P324" s="5"/>
      <c r="Q324" s="5"/>
    </row>
    <row r="325">
      <c r="A325" s="5" t="str">
        <f>IFERROR(__xludf.DUMMYFUNCTION("""COMPUTED_VALUE"""),"Outbound")</f>
        <v>Outbound</v>
      </c>
      <c r="B325" s="5">
        <f>IFERROR(__xludf.DUMMYFUNCTION("""COMPUTED_VALUE"""),727.0)</f>
        <v>727</v>
      </c>
      <c r="C325" s="5" t="str">
        <f>IFERROR(__xludf.DUMMYFUNCTION("""COMPUTED_VALUE"""),"SSI VIGILANT")</f>
        <v>SSI VIGILANT</v>
      </c>
      <c r="D325" s="5">
        <f>IFERROR(__xludf.DUMMYFUNCTION("""COMPUTED_VALUE"""),9918743.0)</f>
        <v>9918743</v>
      </c>
      <c r="E325" s="5" t="str">
        <f>IFERROR(__xludf.DUMMYFUNCTION("""COMPUTED_VALUE"""),"Odesa")</f>
        <v>Odesa</v>
      </c>
      <c r="F325" s="5" t="str">
        <f>IFERROR(__xludf.DUMMYFUNCTION("""COMPUTED_VALUE"""),"Bangladesh")</f>
        <v>Bangladesh</v>
      </c>
      <c r="G325" s="5" t="str">
        <f>IFERROR(__xludf.DUMMYFUNCTION("""COMPUTED_VALUE"""),"Wheat")</f>
        <v>Wheat</v>
      </c>
      <c r="H325" s="6">
        <f>IFERROR(__xludf.DUMMYFUNCTION("""COMPUTED_VALUE"""),57200.0)</f>
        <v>57200</v>
      </c>
      <c r="I325" s="7">
        <f>IFERROR(__xludf.DUMMYFUNCTION("""COMPUTED_VALUE"""),44968.0)</f>
        <v>44968</v>
      </c>
      <c r="J325" s="7">
        <f>IFERROR(__xludf.DUMMYFUNCTION("""COMPUTED_VALUE"""),44981.0)</f>
        <v>44981</v>
      </c>
      <c r="K325" s="5" t="str">
        <f>IFERROR(__xludf.DUMMYFUNCTION("""COMPUTED_VALUE"""),"lower-middle income")</f>
        <v>lower-middle income</v>
      </c>
      <c r="L325" s="5" t="str">
        <f>IFERROR(__xludf.DUMMYFUNCTION("""COMPUTED_VALUE"""),"Marshall Islands")</f>
        <v>Marshall Islands</v>
      </c>
      <c r="M325" s="5" t="str">
        <f>IFERROR(__xludf.DUMMYFUNCTION("""COMPUTED_VALUE"""),"South Asia")</f>
        <v>South Asia</v>
      </c>
      <c r="N325" s="5" t="str">
        <f>IFERROR(__xludf.DUMMYFUNCTION("""COMPUTED_VALUE"""),"Asia-Pacific")</f>
        <v>Asia-Pacific</v>
      </c>
      <c r="O325" s="5" t="str">
        <f>IFERROR(__xludf.DUMMYFUNCTION("""COMPUTED_VALUE"""),"developing")</f>
        <v>developing</v>
      </c>
      <c r="P325" s="5"/>
      <c r="Q325" s="5"/>
    </row>
    <row r="326">
      <c r="A326" s="5" t="str">
        <f>IFERROR(__xludf.DUMMYFUNCTION("""COMPUTED_VALUE"""),"Outbound")</f>
        <v>Outbound</v>
      </c>
      <c r="B326" s="5">
        <f>IFERROR(__xludf.DUMMYFUNCTION("""COMPUTED_VALUE"""),726.0)</f>
        <v>726</v>
      </c>
      <c r="C326" s="5" t="str">
        <f>IFERROR(__xludf.DUMMYFUNCTION("""COMPUTED_VALUE"""),"ZHENG HENG")</f>
        <v>ZHENG HENG</v>
      </c>
      <c r="D326" s="5">
        <f>IFERROR(__xludf.DUMMYFUNCTION("""COMPUTED_VALUE"""),9593799.0)</f>
        <v>9593799</v>
      </c>
      <c r="E326" s="5" t="str">
        <f>IFERROR(__xludf.DUMMYFUNCTION("""COMPUTED_VALUE"""),"Yuzhny/Pivdennyi")</f>
        <v>Yuzhny/Pivdennyi</v>
      </c>
      <c r="F326" s="5" t="str">
        <f>IFERROR(__xludf.DUMMYFUNCTION("""COMPUTED_VALUE"""),"Spain")</f>
        <v>Spain</v>
      </c>
      <c r="G326" s="5" t="str">
        <f>IFERROR(__xludf.DUMMYFUNCTION("""COMPUTED_VALUE"""),"Corn")</f>
        <v>Corn</v>
      </c>
      <c r="H326" s="6">
        <f>IFERROR(__xludf.DUMMYFUNCTION("""COMPUTED_VALUE"""),34125.0)</f>
        <v>34125</v>
      </c>
      <c r="I326" s="7">
        <f>IFERROR(__xludf.DUMMYFUNCTION("""COMPUTED_VALUE"""),44967.0)</f>
        <v>44967</v>
      </c>
      <c r="J326" s="7">
        <f>IFERROR(__xludf.DUMMYFUNCTION("""COMPUTED_VALUE"""),44978.0)</f>
        <v>44978</v>
      </c>
      <c r="K326" s="5" t="str">
        <f>IFERROR(__xludf.DUMMYFUNCTION("""COMPUTED_VALUE"""),"high-income")</f>
        <v>high-income</v>
      </c>
      <c r="L326" s="5" t="str">
        <f>IFERROR(__xludf.DUMMYFUNCTION("""COMPUTED_VALUE"""),"Panama")</f>
        <v>Panama</v>
      </c>
      <c r="M326" s="5" t="str">
        <f>IFERROR(__xludf.DUMMYFUNCTION("""COMPUTED_VALUE"""),"Europe &amp; Central Asia")</f>
        <v>Europe &amp; Central Asia</v>
      </c>
      <c r="N326" s="5" t="str">
        <f>IFERROR(__xludf.DUMMYFUNCTION("""COMPUTED_VALUE"""),"Western Europe and Others")</f>
        <v>Western Europe and Others</v>
      </c>
      <c r="O326" s="5" t="str">
        <f>IFERROR(__xludf.DUMMYFUNCTION("""COMPUTED_VALUE"""),"developed")</f>
        <v>developed</v>
      </c>
      <c r="P326" s="5"/>
      <c r="Q326" s="5"/>
    </row>
    <row r="327">
      <c r="A327" s="5" t="str">
        <f>IFERROR(__xludf.DUMMYFUNCTION("""COMPUTED_VALUE"""),"Outbound +")</f>
        <v>Outbound +</v>
      </c>
      <c r="B327" s="5">
        <f>IFERROR(__xludf.DUMMYFUNCTION("""COMPUTED_VALUE"""),726.0)</f>
        <v>726</v>
      </c>
      <c r="C327" s="5" t="str">
        <f>IFERROR(__xludf.DUMMYFUNCTION("""COMPUTED_VALUE"""),"ZHENG HENG")</f>
        <v>ZHENG HENG</v>
      </c>
      <c r="D327" s="5">
        <f>IFERROR(__xludf.DUMMYFUNCTION("""COMPUTED_VALUE"""),9593799.0)</f>
        <v>9593799</v>
      </c>
      <c r="E327" s="5" t="str">
        <f>IFERROR(__xludf.DUMMYFUNCTION("""COMPUTED_VALUE"""),"Yuzhny/Pivdennyi")</f>
        <v>Yuzhny/Pivdennyi</v>
      </c>
      <c r="F327" s="5" t="str">
        <f>IFERROR(__xludf.DUMMYFUNCTION("""COMPUTED_VALUE"""),"Spain")</f>
        <v>Spain</v>
      </c>
      <c r="G327" s="5" t="str">
        <f>IFERROR(__xludf.DUMMYFUNCTION("""COMPUTED_VALUE"""),"Wheat")</f>
        <v>Wheat</v>
      </c>
      <c r="H327" s="6">
        <f>IFERROR(__xludf.DUMMYFUNCTION("""COMPUTED_VALUE"""),34125.0)</f>
        <v>34125</v>
      </c>
      <c r="I327" s="7">
        <f>IFERROR(__xludf.DUMMYFUNCTION("""COMPUTED_VALUE"""),44967.0)</f>
        <v>44967</v>
      </c>
      <c r="J327" s="7">
        <f>IFERROR(__xludf.DUMMYFUNCTION("""COMPUTED_VALUE"""),44978.0)</f>
        <v>44978</v>
      </c>
      <c r="K327" s="5" t="str">
        <f>IFERROR(__xludf.DUMMYFUNCTION("""COMPUTED_VALUE"""),"high-income")</f>
        <v>high-income</v>
      </c>
      <c r="L327" s="5" t="str">
        <f>IFERROR(__xludf.DUMMYFUNCTION("""COMPUTED_VALUE"""),"Panama")</f>
        <v>Panama</v>
      </c>
      <c r="M327" s="5" t="str">
        <f>IFERROR(__xludf.DUMMYFUNCTION("""COMPUTED_VALUE"""),"Europe &amp; Central Asia")</f>
        <v>Europe &amp; Central Asia</v>
      </c>
      <c r="N327" s="5" t="str">
        <f>IFERROR(__xludf.DUMMYFUNCTION("""COMPUTED_VALUE"""),"Western Europe and Others")</f>
        <v>Western Europe and Others</v>
      </c>
      <c r="O327" s="5" t="str">
        <f>IFERROR(__xludf.DUMMYFUNCTION("""COMPUTED_VALUE"""),"developed")</f>
        <v>developed</v>
      </c>
      <c r="P327" s="5"/>
      <c r="Q327" s="5"/>
    </row>
    <row r="328">
      <c r="A328" s="5" t="str">
        <f>IFERROR(__xludf.DUMMYFUNCTION("""COMPUTED_VALUE"""),"Outbound")</f>
        <v>Outbound</v>
      </c>
      <c r="B328" s="5">
        <f>IFERROR(__xludf.DUMMYFUNCTION("""COMPUTED_VALUE"""),725.0)</f>
        <v>725</v>
      </c>
      <c r="C328" s="5" t="str">
        <f>IFERROR(__xludf.DUMMYFUNCTION("""COMPUTED_VALUE"""),"TRAMP LADY")</f>
        <v>TRAMP LADY</v>
      </c>
      <c r="D328" s="5">
        <f>IFERROR(__xludf.DUMMYFUNCTION("""COMPUTED_VALUE"""),9286621.0)</f>
        <v>9286621</v>
      </c>
      <c r="E328" s="5" t="str">
        <f>IFERROR(__xludf.DUMMYFUNCTION("""COMPUTED_VALUE"""),"Chornomorsk")</f>
        <v>Chornomorsk</v>
      </c>
      <c r="F328" s="5" t="str">
        <f>IFERROR(__xludf.DUMMYFUNCTION("""COMPUTED_VALUE"""),"Spain")</f>
        <v>Spain</v>
      </c>
      <c r="G328" s="5" t="str">
        <f>IFERROR(__xludf.DUMMYFUNCTION("""COMPUTED_VALUE"""),"Corn")</f>
        <v>Corn</v>
      </c>
      <c r="H328" s="6">
        <f>IFERROR(__xludf.DUMMYFUNCTION("""COMPUTED_VALUE"""),66430.0)</f>
        <v>66430</v>
      </c>
      <c r="I328" s="7">
        <f>IFERROR(__xludf.DUMMYFUNCTION("""COMPUTED_VALUE"""),44967.0)</f>
        <v>44967</v>
      </c>
      <c r="J328" s="7">
        <f>IFERROR(__xludf.DUMMYFUNCTION("""COMPUTED_VALUE"""),44980.0)</f>
        <v>44980</v>
      </c>
      <c r="K328" s="5" t="str">
        <f>IFERROR(__xludf.DUMMYFUNCTION("""COMPUTED_VALUE"""),"high-income")</f>
        <v>high-income</v>
      </c>
      <c r="L328" s="5" t="str">
        <f>IFERROR(__xludf.DUMMYFUNCTION("""COMPUTED_VALUE"""),"Malta")</f>
        <v>Malta</v>
      </c>
      <c r="M328" s="5" t="str">
        <f>IFERROR(__xludf.DUMMYFUNCTION("""COMPUTED_VALUE"""),"Europe &amp; Central Asia")</f>
        <v>Europe &amp; Central Asia</v>
      </c>
      <c r="N328" s="5" t="str">
        <f>IFERROR(__xludf.DUMMYFUNCTION("""COMPUTED_VALUE"""),"Western Europe and Others")</f>
        <v>Western Europe and Others</v>
      </c>
      <c r="O328" s="5" t="str">
        <f>IFERROR(__xludf.DUMMYFUNCTION("""COMPUTED_VALUE"""),"developed")</f>
        <v>developed</v>
      </c>
      <c r="P328" s="5"/>
      <c r="Q328" s="5"/>
    </row>
    <row r="329">
      <c r="A329" s="5" t="str">
        <f>IFERROR(__xludf.DUMMYFUNCTION("""COMPUTED_VALUE"""),"Outbound")</f>
        <v>Outbound</v>
      </c>
      <c r="B329" s="5">
        <f>IFERROR(__xludf.DUMMYFUNCTION("""COMPUTED_VALUE"""),724.0)</f>
        <v>724</v>
      </c>
      <c r="C329" s="5" t="str">
        <f>IFERROR(__xludf.DUMMYFUNCTION("""COMPUTED_VALUE"""),"STELLAR LADY")</f>
        <v>STELLAR LADY</v>
      </c>
      <c r="D329" s="5">
        <f>IFERROR(__xludf.DUMMYFUNCTION("""COMPUTED_VALUE"""),9574004.0)</f>
        <v>9574004</v>
      </c>
      <c r="E329" s="5" t="str">
        <f>IFERROR(__xludf.DUMMYFUNCTION("""COMPUTED_VALUE"""),"Odesa")</f>
        <v>Odesa</v>
      </c>
      <c r="F329" s="5" t="str">
        <f>IFERROR(__xludf.DUMMYFUNCTION("""COMPUTED_VALUE"""),"Kenya")</f>
        <v>Kenya</v>
      </c>
      <c r="G329" s="5" t="str">
        <f>IFERROR(__xludf.DUMMYFUNCTION("""COMPUTED_VALUE"""),"Corn")</f>
        <v>Corn</v>
      </c>
      <c r="H329" s="6">
        <f>IFERROR(__xludf.DUMMYFUNCTION("""COMPUTED_VALUE"""),44000.0)</f>
        <v>44000</v>
      </c>
      <c r="I329" s="7">
        <f>IFERROR(__xludf.DUMMYFUNCTION("""COMPUTED_VALUE"""),44967.0)</f>
        <v>44967</v>
      </c>
      <c r="J329" s="7">
        <f>IFERROR(__xludf.DUMMYFUNCTION("""COMPUTED_VALUE"""),44980.0)</f>
        <v>44980</v>
      </c>
      <c r="K329" s="5" t="str">
        <f>IFERROR(__xludf.DUMMYFUNCTION("""COMPUTED_VALUE"""),"lower-middle income")</f>
        <v>lower-middle income</v>
      </c>
      <c r="L329" s="5" t="str">
        <f>IFERROR(__xludf.DUMMYFUNCTION("""COMPUTED_VALUE"""),"Marshall Islands")</f>
        <v>Marshall Islands</v>
      </c>
      <c r="M329" s="5" t="str">
        <f>IFERROR(__xludf.DUMMYFUNCTION("""COMPUTED_VALUE"""),"Sub-Saharan Africa")</f>
        <v>Sub-Saharan Africa</v>
      </c>
      <c r="N329" s="5" t="str">
        <f>IFERROR(__xludf.DUMMYFUNCTION("""COMPUTED_VALUE"""),"Africa")</f>
        <v>Africa</v>
      </c>
      <c r="O329" s="5" t="str">
        <f>IFERROR(__xludf.DUMMYFUNCTION("""COMPUTED_VALUE"""),"developing")</f>
        <v>developing</v>
      </c>
      <c r="P329" s="5"/>
      <c r="Q329" s="5"/>
    </row>
    <row r="330">
      <c r="A330" s="5" t="str">
        <f>IFERROR(__xludf.DUMMYFUNCTION("""COMPUTED_VALUE"""),"Outbound")</f>
        <v>Outbound</v>
      </c>
      <c r="B330" s="5">
        <f>IFERROR(__xludf.DUMMYFUNCTION("""COMPUTED_VALUE"""),723.0)</f>
        <v>723</v>
      </c>
      <c r="C330" s="5" t="str">
        <f>IFERROR(__xludf.DUMMYFUNCTION("""COMPUTED_VALUE"""),"QUEEN JUDI")</f>
        <v>QUEEN JUDI</v>
      </c>
      <c r="D330" s="5">
        <f>IFERROR(__xludf.DUMMYFUNCTION("""COMPUTED_VALUE"""),9295567.0)</f>
        <v>9295567</v>
      </c>
      <c r="E330" s="5" t="str">
        <f>IFERROR(__xludf.DUMMYFUNCTION("""COMPUTED_VALUE"""),"Odesa")</f>
        <v>Odesa</v>
      </c>
      <c r="F330" s="5" t="str">
        <f>IFERROR(__xludf.DUMMYFUNCTION("""COMPUTED_VALUE"""),"Türkiye")</f>
        <v>Türkiye</v>
      </c>
      <c r="G330" s="5" t="str">
        <f>IFERROR(__xludf.DUMMYFUNCTION("""COMPUTED_VALUE"""),"Barley")</f>
        <v>Barley</v>
      </c>
      <c r="H330" s="6">
        <f>IFERROR(__xludf.DUMMYFUNCTION("""COMPUTED_VALUE"""),26250.0)</f>
        <v>26250</v>
      </c>
      <c r="I330" s="7">
        <f>IFERROR(__xludf.DUMMYFUNCTION("""COMPUTED_VALUE"""),44966.0)</f>
        <v>44966</v>
      </c>
      <c r="J330" s="7">
        <f>IFERROR(__xludf.DUMMYFUNCTION("""COMPUTED_VALUE"""),44973.0)</f>
        <v>44973</v>
      </c>
      <c r="K330" s="5" t="str">
        <f>IFERROR(__xludf.DUMMYFUNCTION("""COMPUTED_VALUE"""),"upper-middle-income")</f>
        <v>upper-middle-income</v>
      </c>
      <c r="L330" s="5" t="str">
        <f>IFERROR(__xludf.DUMMYFUNCTION("""COMPUTED_VALUE"""),"Belize")</f>
        <v>Belize</v>
      </c>
      <c r="M330" s="5" t="str">
        <f>IFERROR(__xludf.DUMMYFUNCTION("""COMPUTED_VALUE"""),"Europe &amp; Central Asia")</f>
        <v>Europe &amp; Central Asia</v>
      </c>
      <c r="N330" s="5" t="str">
        <f>IFERROR(__xludf.DUMMYFUNCTION("""COMPUTED_VALUE"""),"Asia-Pacific")</f>
        <v>Asia-Pacific</v>
      </c>
      <c r="O330" s="5" t="str">
        <f>IFERROR(__xludf.DUMMYFUNCTION("""COMPUTED_VALUE"""),"developing")</f>
        <v>developing</v>
      </c>
      <c r="P330" s="5"/>
      <c r="Q330" s="5"/>
    </row>
    <row r="331">
      <c r="A331" s="5" t="str">
        <f>IFERROR(__xludf.DUMMYFUNCTION("""COMPUTED_VALUE"""),"Outbound")</f>
        <v>Outbound</v>
      </c>
      <c r="B331" s="5">
        <f>IFERROR(__xludf.DUMMYFUNCTION("""COMPUTED_VALUE"""),722.0)</f>
        <v>722</v>
      </c>
      <c r="C331" s="5" t="str">
        <f>IFERROR(__xludf.DUMMYFUNCTION("""COMPUTED_VALUE"""),"LADY SPERANZA")</f>
        <v>LADY SPERANZA</v>
      </c>
      <c r="D331" s="5">
        <f>IFERROR(__xludf.DUMMYFUNCTION("""COMPUTED_VALUE"""),9200574.0)</f>
        <v>9200574</v>
      </c>
      <c r="E331" s="5" t="str">
        <f>IFERROR(__xludf.DUMMYFUNCTION("""COMPUTED_VALUE"""),"Odesa")</f>
        <v>Odesa</v>
      </c>
      <c r="F331" s="5" t="str">
        <f>IFERROR(__xludf.DUMMYFUNCTION("""COMPUTED_VALUE"""),"Egypt")</f>
        <v>Egypt</v>
      </c>
      <c r="G331" s="5" t="str">
        <f>IFERROR(__xludf.DUMMYFUNCTION("""COMPUTED_VALUE"""),"Corn")</f>
        <v>Corn</v>
      </c>
      <c r="H331" s="6">
        <f>IFERROR(__xludf.DUMMYFUNCTION("""COMPUTED_VALUE"""),15300.0)</f>
        <v>15300</v>
      </c>
      <c r="I331" s="7">
        <f>IFERROR(__xludf.DUMMYFUNCTION("""COMPUTED_VALUE"""),44966.0)</f>
        <v>44966</v>
      </c>
      <c r="J331" s="7">
        <f>IFERROR(__xludf.DUMMYFUNCTION("""COMPUTED_VALUE"""),44974.0)</f>
        <v>44974</v>
      </c>
      <c r="K331" s="5" t="str">
        <f>IFERROR(__xludf.DUMMYFUNCTION("""COMPUTED_VALUE"""),"lower-middle income")</f>
        <v>lower-middle income</v>
      </c>
      <c r="L331" s="5" t="str">
        <f>IFERROR(__xludf.DUMMYFUNCTION("""COMPUTED_VALUE"""),"Guinea-Bissau")</f>
        <v>Guinea-Bissau</v>
      </c>
      <c r="M331" s="5" t="str">
        <f>IFERROR(__xludf.DUMMYFUNCTION("""COMPUTED_VALUE"""),"Middle East &amp; North Africa")</f>
        <v>Middle East &amp; North Africa</v>
      </c>
      <c r="N331" s="5" t="str">
        <f>IFERROR(__xludf.DUMMYFUNCTION("""COMPUTED_VALUE"""),"Africa")</f>
        <v>Africa</v>
      </c>
      <c r="O331" s="5" t="str">
        <f>IFERROR(__xludf.DUMMYFUNCTION("""COMPUTED_VALUE"""),"developing")</f>
        <v>developing</v>
      </c>
      <c r="P331" s="5"/>
      <c r="Q331" s="5"/>
    </row>
    <row r="332">
      <c r="A332" s="5" t="str">
        <f>IFERROR(__xludf.DUMMYFUNCTION("""COMPUTED_VALUE"""),"Outbound")</f>
        <v>Outbound</v>
      </c>
      <c r="B332" s="5">
        <f>IFERROR(__xludf.DUMMYFUNCTION("""COMPUTED_VALUE"""),721.0)</f>
        <v>721</v>
      </c>
      <c r="C332" s="5" t="str">
        <f>IFERROR(__xludf.DUMMYFUNCTION("""COMPUTED_VALUE"""),"SAKARYA")</f>
        <v>SAKARYA</v>
      </c>
      <c r="D332" s="5">
        <f>IFERROR(__xludf.DUMMYFUNCTION("""COMPUTED_VALUE"""),9257199.0)</f>
        <v>9257199</v>
      </c>
      <c r="E332" s="5" t="str">
        <f>IFERROR(__xludf.DUMMYFUNCTION("""COMPUTED_VALUE"""),"Odesa")</f>
        <v>Odesa</v>
      </c>
      <c r="F332" s="5" t="str">
        <f>IFERROR(__xludf.DUMMYFUNCTION("""COMPUTED_VALUE"""),"Spain")</f>
        <v>Spain</v>
      </c>
      <c r="G332" s="5" t="str">
        <f>IFERROR(__xludf.DUMMYFUNCTION("""COMPUTED_VALUE"""),"Corn")</f>
        <v>Corn</v>
      </c>
      <c r="H332" s="6">
        <f>IFERROR(__xludf.DUMMYFUNCTION("""COMPUTED_VALUE"""),28240.0)</f>
        <v>28240</v>
      </c>
      <c r="I332" s="7">
        <f>IFERROR(__xludf.DUMMYFUNCTION("""COMPUTED_VALUE"""),44965.0)</f>
        <v>44965</v>
      </c>
      <c r="J332" s="7">
        <f>IFERROR(__xludf.DUMMYFUNCTION("""COMPUTED_VALUE"""),44974.0)</f>
        <v>44974</v>
      </c>
      <c r="K332" s="5" t="str">
        <f>IFERROR(__xludf.DUMMYFUNCTION("""COMPUTED_VALUE"""),"high-income")</f>
        <v>high-income</v>
      </c>
      <c r="L332" s="5" t="str">
        <f>IFERROR(__xludf.DUMMYFUNCTION("""COMPUTED_VALUE"""),"Turkiye")</f>
        <v>Turkiye</v>
      </c>
      <c r="M332" s="5" t="str">
        <f>IFERROR(__xludf.DUMMYFUNCTION("""COMPUTED_VALUE"""),"Europe &amp; Central Asia")</f>
        <v>Europe &amp; Central Asia</v>
      </c>
      <c r="N332" s="5" t="str">
        <f>IFERROR(__xludf.DUMMYFUNCTION("""COMPUTED_VALUE"""),"Western Europe and Others")</f>
        <v>Western Europe and Others</v>
      </c>
      <c r="O332" s="5" t="str">
        <f>IFERROR(__xludf.DUMMYFUNCTION("""COMPUTED_VALUE"""),"developed")</f>
        <v>developed</v>
      </c>
      <c r="P332" s="5"/>
      <c r="Q332" s="5"/>
    </row>
    <row r="333">
      <c r="A333" s="5" t="str">
        <f>IFERROR(__xludf.DUMMYFUNCTION("""COMPUTED_VALUE"""),"Outbound")</f>
        <v>Outbound</v>
      </c>
      <c r="B333" s="5">
        <f>IFERROR(__xludf.DUMMYFUNCTION("""COMPUTED_VALUE"""),720.0)</f>
        <v>720</v>
      </c>
      <c r="C333" s="5" t="str">
        <f>IFERROR(__xludf.DUMMYFUNCTION("""COMPUTED_VALUE"""),"LADY PERLA")</f>
        <v>LADY PERLA</v>
      </c>
      <c r="D333" s="5">
        <f>IFERROR(__xludf.DUMMYFUNCTION("""COMPUTED_VALUE"""),9149732.0)</f>
        <v>9149732</v>
      </c>
      <c r="E333" s="5" t="str">
        <f>IFERROR(__xludf.DUMMYFUNCTION("""COMPUTED_VALUE"""),"Chornomorsk")</f>
        <v>Chornomorsk</v>
      </c>
      <c r="F333" s="5" t="str">
        <f>IFERROR(__xludf.DUMMYFUNCTION("""COMPUTED_VALUE"""),"Türkiye")</f>
        <v>Türkiye</v>
      </c>
      <c r="G333" s="5" t="str">
        <f>IFERROR(__xludf.DUMMYFUNCTION("""COMPUTED_VALUE"""),"Wheat")</f>
        <v>Wheat</v>
      </c>
      <c r="H333" s="6">
        <f>IFERROR(__xludf.DUMMYFUNCTION("""COMPUTED_VALUE"""),21600.0)</f>
        <v>21600</v>
      </c>
      <c r="I333" s="7">
        <f>IFERROR(__xludf.DUMMYFUNCTION("""COMPUTED_VALUE"""),44965.0)</f>
        <v>44965</v>
      </c>
      <c r="J333" s="7">
        <f>IFERROR(__xludf.DUMMYFUNCTION("""COMPUTED_VALUE"""),44978.0)</f>
        <v>44978</v>
      </c>
      <c r="K333" s="5" t="str">
        <f>IFERROR(__xludf.DUMMYFUNCTION("""COMPUTED_VALUE"""),"upper-middle-income")</f>
        <v>upper-middle-income</v>
      </c>
      <c r="L333" s="5" t="str">
        <f>IFERROR(__xludf.DUMMYFUNCTION("""COMPUTED_VALUE"""),"Liberia")</f>
        <v>Liberia</v>
      </c>
      <c r="M333" s="5" t="str">
        <f>IFERROR(__xludf.DUMMYFUNCTION("""COMPUTED_VALUE"""),"Europe &amp; Central Asia")</f>
        <v>Europe &amp; Central Asia</v>
      </c>
      <c r="N333" s="5" t="str">
        <f>IFERROR(__xludf.DUMMYFUNCTION("""COMPUTED_VALUE"""),"Asia-Pacific")</f>
        <v>Asia-Pacific</v>
      </c>
      <c r="O333" s="5" t="str">
        <f>IFERROR(__xludf.DUMMYFUNCTION("""COMPUTED_VALUE"""),"developing")</f>
        <v>developing</v>
      </c>
      <c r="P333" s="5"/>
      <c r="Q333" s="5"/>
    </row>
    <row r="334">
      <c r="A334" s="5" t="str">
        <f>IFERROR(__xludf.DUMMYFUNCTION("""COMPUTED_VALUE"""),"Outbound")</f>
        <v>Outbound</v>
      </c>
      <c r="B334" s="5">
        <f>IFERROR(__xludf.DUMMYFUNCTION("""COMPUTED_VALUE"""),719.0)</f>
        <v>719</v>
      </c>
      <c r="C334" s="5" t="str">
        <f>IFERROR(__xludf.DUMMYFUNCTION("""COMPUTED_VALUE"""),"HALIT YILDIRIM")</f>
        <v>HALIT YILDIRIM</v>
      </c>
      <c r="D334" s="5">
        <f>IFERROR(__xludf.DUMMYFUNCTION("""COMPUTED_VALUE"""),9257981.0)</f>
        <v>9257981</v>
      </c>
      <c r="E334" s="5" t="str">
        <f>IFERROR(__xludf.DUMMYFUNCTION("""COMPUTED_VALUE"""),"Yuzhny/Pivdennyi")</f>
        <v>Yuzhny/Pivdennyi</v>
      </c>
      <c r="F334" s="5" t="str">
        <f>IFERROR(__xludf.DUMMYFUNCTION("""COMPUTED_VALUE"""),"Portugal")</f>
        <v>Portugal</v>
      </c>
      <c r="G334" s="5" t="str">
        <f>IFERROR(__xludf.DUMMYFUNCTION("""COMPUTED_VALUE"""),"Wheat")</f>
        <v>Wheat</v>
      </c>
      <c r="H334" s="6">
        <f>IFERROR(__xludf.DUMMYFUNCTION("""COMPUTED_VALUE"""),16877.0)</f>
        <v>16877</v>
      </c>
      <c r="I334" s="7">
        <f>IFERROR(__xludf.DUMMYFUNCTION("""COMPUTED_VALUE"""),44965.0)</f>
        <v>44965</v>
      </c>
      <c r="J334" s="7">
        <f>IFERROR(__xludf.DUMMYFUNCTION("""COMPUTED_VALUE"""),44972.0)</f>
        <v>44972</v>
      </c>
      <c r="K334" s="5" t="str">
        <f>IFERROR(__xludf.DUMMYFUNCTION("""COMPUTED_VALUE"""),"high-income")</f>
        <v>high-income</v>
      </c>
      <c r="L334" s="5" t="str">
        <f>IFERROR(__xludf.DUMMYFUNCTION("""COMPUTED_VALUE"""),"Marshall Islands")</f>
        <v>Marshall Islands</v>
      </c>
      <c r="M334" s="5" t="str">
        <f>IFERROR(__xludf.DUMMYFUNCTION("""COMPUTED_VALUE"""),"Europe &amp; Central Asia")</f>
        <v>Europe &amp; Central Asia</v>
      </c>
      <c r="N334" s="5" t="str">
        <f>IFERROR(__xludf.DUMMYFUNCTION("""COMPUTED_VALUE"""),"Western Europe and Others")</f>
        <v>Western Europe and Others</v>
      </c>
      <c r="O334" s="5" t="str">
        <f>IFERROR(__xludf.DUMMYFUNCTION("""COMPUTED_VALUE"""),"developed")</f>
        <v>developed</v>
      </c>
      <c r="P334" s="5"/>
      <c r="Q334" s="5"/>
    </row>
    <row r="335">
      <c r="A335" s="5" t="str">
        <f>IFERROR(__xludf.DUMMYFUNCTION("""COMPUTED_VALUE"""),"Outbound +")</f>
        <v>Outbound +</v>
      </c>
      <c r="B335" s="5">
        <f>IFERROR(__xludf.DUMMYFUNCTION("""COMPUTED_VALUE"""),719.0)</f>
        <v>719</v>
      </c>
      <c r="C335" s="5" t="str">
        <f>IFERROR(__xludf.DUMMYFUNCTION("""COMPUTED_VALUE"""),"HALIT YILDIRIM")</f>
        <v>HALIT YILDIRIM</v>
      </c>
      <c r="D335" s="5">
        <f>IFERROR(__xludf.DUMMYFUNCTION("""COMPUTED_VALUE"""),9257981.0)</f>
        <v>9257981</v>
      </c>
      <c r="E335" s="5" t="str">
        <f>IFERROR(__xludf.DUMMYFUNCTION("""COMPUTED_VALUE"""),"Yuzhny/Pivdennyi")</f>
        <v>Yuzhny/Pivdennyi</v>
      </c>
      <c r="F335" s="5" t="str">
        <f>IFERROR(__xludf.DUMMYFUNCTION("""COMPUTED_VALUE"""),"Portugal")</f>
        <v>Portugal</v>
      </c>
      <c r="G335" s="5" t="str">
        <f>IFERROR(__xludf.DUMMYFUNCTION("""COMPUTED_VALUE"""),"Corn")</f>
        <v>Corn</v>
      </c>
      <c r="H335" s="6">
        <f>IFERROR(__xludf.DUMMYFUNCTION("""COMPUTED_VALUE"""),11958.0)</f>
        <v>11958</v>
      </c>
      <c r="I335" s="7">
        <f>IFERROR(__xludf.DUMMYFUNCTION("""COMPUTED_VALUE"""),44965.0)</f>
        <v>44965</v>
      </c>
      <c r="J335" s="7">
        <f>IFERROR(__xludf.DUMMYFUNCTION("""COMPUTED_VALUE"""),44972.0)</f>
        <v>44972</v>
      </c>
      <c r="K335" s="5" t="str">
        <f>IFERROR(__xludf.DUMMYFUNCTION("""COMPUTED_VALUE"""),"high-income")</f>
        <v>high-income</v>
      </c>
      <c r="L335" s="5" t="str">
        <f>IFERROR(__xludf.DUMMYFUNCTION("""COMPUTED_VALUE"""),"Marshall Islands")</f>
        <v>Marshall Islands</v>
      </c>
      <c r="M335" s="5" t="str">
        <f>IFERROR(__xludf.DUMMYFUNCTION("""COMPUTED_VALUE"""),"Europe &amp; Central Asia")</f>
        <v>Europe &amp; Central Asia</v>
      </c>
      <c r="N335" s="5" t="str">
        <f>IFERROR(__xludf.DUMMYFUNCTION("""COMPUTED_VALUE"""),"Western Europe and Others")</f>
        <v>Western Europe and Others</v>
      </c>
      <c r="O335" s="5" t="str">
        <f>IFERROR(__xludf.DUMMYFUNCTION("""COMPUTED_VALUE"""),"developed")</f>
        <v>developed</v>
      </c>
      <c r="P335" s="5"/>
      <c r="Q335" s="5"/>
    </row>
    <row r="336">
      <c r="A336" s="5" t="str">
        <f>IFERROR(__xludf.DUMMYFUNCTION("""COMPUTED_VALUE"""),"Outbound")</f>
        <v>Outbound</v>
      </c>
      <c r="B336" s="5">
        <f>IFERROR(__xludf.DUMMYFUNCTION("""COMPUTED_VALUE"""),718.0)</f>
        <v>718</v>
      </c>
      <c r="C336" s="5" t="str">
        <f>IFERROR(__xludf.DUMMYFUNCTION("""COMPUTED_VALUE"""),"WADI S")</f>
        <v>WADI S</v>
      </c>
      <c r="D336" s="5">
        <f>IFERROR(__xludf.DUMMYFUNCTION("""COMPUTED_VALUE"""),9077903.0)</f>
        <v>9077903</v>
      </c>
      <c r="E336" s="5" t="str">
        <f>IFERROR(__xludf.DUMMYFUNCTION("""COMPUTED_VALUE"""),"Chornomorsk")</f>
        <v>Chornomorsk</v>
      </c>
      <c r="F336" s="5" t="str">
        <f>IFERROR(__xludf.DUMMYFUNCTION("""COMPUTED_VALUE"""),"Türkiye")</f>
        <v>Türkiye</v>
      </c>
      <c r="G336" s="5" t="str">
        <f>IFERROR(__xludf.DUMMYFUNCTION("""COMPUTED_VALUE"""),"Corn")</f>
        <v>Corn</v>
      </c>
      <c r="H336" s="6">
        <f>IFERROR(__xludf.DUMMYFUNCTION("""COMPUTED_VALUE"""),59226.0)</f>
        <v>59226</v>
      </c>
      <c r="I336" s="7">
        <f>IFERROR(__xludf.DUMMYFUNCTION("""COMPUTED_VALUE"""),44963.0)</f>
        <v>44963</v>
      </c>
      <c r="J336" s="7">
        <f>IFERROR(__xludf.DUMMYFUNCTION("""COMPUTED_VALUE"""),44970.0)</f>
        <v>44970</v>
      </c>
      <c r="K336" s="5" t="str">
        <f>IFERROR(__xludf.DUMMYFUNCTION("""COMPUTED_VALUE"""),"upper-middle-income")</f>
        <v>upper-middle-income</v>
      </c>
      <c r="L336" s="5" t="str">
        <f>IFERROR(__xludf.DUMMYFUNCTION("""COMPUTED_VALUE"""),"Comoros")</f>
        <v>Comoros</v>
      </c>
      <c r="M336" s="5" t="str">
        <f>IFERROR(__xludf.DUMMYFUNCTION("""COMPUTED_VALUE"""),"Europe &amp; Central Asia")</f>
        <v>Europe &amp; Central Asia</v>
      </c>
      <c r="N336" s="5" t="str">
        <f>IFERROR(__xludf.DUMMYFUNCTION("""COMPUTED_VALUE"""),"Asia-Pacific")</f>
        <v>Asia-Pacific</v>
      </c>
      <c r="O336" s="5" t="str">
        <f>IFERROR(__xludf.DUMMYFUNCTION("""COMPUTED_VALUE"""),"developing")</f>
        <v>developing</v>
      </c>
      <c r="P336" s="5"/>
      <c r="Q336" s="5"/>
    </row>
    <row r="337">
      <c r="A337" s="5" t="str">
        <f>IFERROR(__xludf.DUMMYFUNCTION("""COMPUTED_VALUE"""),"Outbound")</f>
        <v>Outbound</v>
      </c>
      <c r="B337" s="5">
        <f>IFERROR(__xludf.DUMMYFUNCTION("""COMPUTED_VALUE"""),717.0)</f>
        <v>717</v>
      </c>
      <c r="C337" s="5" t="str">
        <f>IFERROR(__xludf.DUMMYFUNCTION("""COMPUTED_VALUE"""),"THE ETERNAL")</f>
        <v>THE ETERNAL</v>
      </c>
      <c r="D337" s="5">
        <f>IFERROR(__xludf.DUMMYFUNCTION("""COMPUTED_VALUE"""),9344069.0)</f>
        <v>9344069</v>
      </c>
      <c r="E337" s="5" t="str">
        <f>IFERROR(__xludf.DUMMYFUNCTION("""COMPUTED_VALUE"""),"Odesa")</f>
        <v>Odesa</v>
      </c>
      <c r="F337" s="5" t="str">
        <f>IFERROR(__xludf.DUMMYFUNCTION("""COMPUTED_VALUE"""),"China")</f>
        <v>China</v>
      </c>
      <c r="G337" s="5" t="str">
        <f>IFERROR(__xludf.DUMMYFUNCTION("""COMPUTED_VALUE"""),"Corn")</f>
        <v>Corn</v>
      </c>
      <c r="H337" s="6">
        <f>IFERROR(__xludf.DUMMYFUNCTION("""COMPUTED_VALUE"""),70400.0)</f>
        <v>70400</v>
      </c>
      <c r="I337" s="7">
        <f>IFERROR(__xludf.DUMMYFUNCTION("""COMPUTED_VALUE"""),44963.0)</f>
        <v>44963</v>
      </c>
      <c r="J337" s="7">
        <f>IFERROR(__xludf.DUMMYFUNCTION("""COMPUTED_VALUE"""),44976.0)</f>
        <v>44976</v>
      </c>
      <c r="K337" s="5" t="str">
        <f>IFERROR(__xludf.DUMMYFUNCTION("""COMPUTED_VALUE"""),"upper-middle-income")</f>
        <v>upper-middle-income</v>
      </c>
      <c r="L337" s="5" t="str">
        <f>IFERROR(__xludf.DUMMYFUNCTION("""COMPUTED_VALUE"""),"Panama")</f>
        <v>Panama</v>
      </c>
      <c r="M337" s="5" t="str">
        <f>IFERROR(__xludf.DUMMYFUNCTION("""COMPUTED_VALUE"""),"East Asia &amp; Pacific")</f>
        <v>East Asia &amp; Pacific</v>
      </c>
      <c r="N337" s="5" t="str">
        <f>IFERROR(__xludf.DUMMYFUNCTION("""COMPUTED_VALUE"""),"Asia-Pacific")</f>
        <v>Asia-Pacific</v>
      </c>
      <c r="O337" s="5" t="str">
        <f>IFERROR(__xludf.DUMMYFUNCTION("""COMPUTED_VALUE"""),"developing")</f>
        <v>developing</v>
      </c>
      <c r="P337" s="5"/>
      <c r="Q337" s="5"/>
    </row>
    <row r="338">
      <c r="A338" s="5" t="str">
        <f>IFERROR(__xludf.DUMMYFUNCTION("""COMPUTED_VALUE"""),"Outbound")</f>
        <v>Outbound</v>
      </c>
      <c r="B338" s="5">
        <f>IFERROR(__xludf.DUMMYFUNCTION("""COMPUTED_VALUE"""),716.0)</f>
        <v>716</v>
      </c>
      <c r="C338" s="5" t="str">
        <f>IFERROR(__xludf.DUMMYFUNCTION("""COMPUTED_VALUE"""),"SKYFALL")</f>
        <v>SKYFALL</v>
      </c>
      <c r="D338" s="5">
        <f>IFERROR(__xludf.DUMMYFUNCTION("""COMPUTED_VALUE"""),9724752.0)</f>
        <v>9724752</v>
      </c>
      <c r="E338" s="5" t="str">
        <f>IFERROR(__xludf.DUMMYFUNCTION("""COMPUTED_VALUE"""),"Yuzhny/Pivdennyi")</f>
        <v>Yuzhny/Pivdennyi</v>
      </c>
      <c r="F338" s="5" t="str">
        <f>IFERROR(__xludf.DUMMYFUNCTION("""COMPUTED_VALUE"""),"Portugal")</f>
        <v>Portugal</v>
      </c>
      <c r="G338" s="5" t="str">
        <f>IFERROR(__xludf.DUMMYFUNCTION("""COMPUTED_VALUE"""),"Corn")</f>
        <v>Corn</v>
      </c>
      <c r="H338" s="6">
        <f>IFERROR(__xludf.DUMMYFUNCTION("""COMPUTED_VALUE"""),57228.0)</f>
        <v>57228</v>
      </c>
      <c r="I338" s="7">
        <f>IFERROR(__xludf.DUMMYFUNCTION("""COMPUTED_VALUE"""),44963.0)</f>
        <v>44963</v>
      </c>
      <c r="J338" s="7">
        <f>IFERROR(__xludf.DUMMYFUNCTION("""COMPUTED_VALUE"""),44971.0)</f>
        <v>44971</v>
      </c>
      <c r="K338" s="5" t="str">
        <f>IFERROR(__xludf.DUMMYFUNCTION("""COMPUTED_VALUE"""),"high-income")</f>
        <v>high-income</v>
      </c>
      <c r="L338" s="5" t="str">
        <f>IFERROR(__xludf.DUMMYFUNCTION("""COMPUTED_VALUE"""),"Liberia")</f>
        <v>Liberia</v>
      </c>
      <c r="M338" s="5" t="str">
        <f>IFERROR(__xludf.DUMMYFUNCTION("""COMPUTED_VALUE"""),"Europe &amp; Central Asia")</f>
        <v>Europe &amp; Central Asia</v>
      </c>
      <c r="N338" s="5" t="str">
        <f>IFERROR(__xludf.DUMMYFUNCTION("""COMPUTED_VALUE"""),"Western Europe and Others")</f>
        <v>Western Europe and Others</v>
      </c>
      <c r="O338" s="5" t="str">
        <f>IFERROR(__xludf.DUMMYFUNCTION("""COMPUTED_VALUE"""),"developed")</f>
        <v>developed</v>
      </c>
      <c r="P338" s="5"/>
      <c r="Q338" s="5"/>
    </row>
    <row r="339">
      <c r="A339" s="5" t="str">
        <f>IFERROR(__xludf.DUMMYFUNCTION("""COMPUTED_VALUE"""),"Outbound")</f>
        <v>Outbound</v>
      </c>
      <c r="B339" s="5">
        <f>IFERROR(__xludf.DUMMYFUNCTION("""COMPUTED_VALUE"""),715.0)</f>
        <v>715</v>
      </c>
      <c r="C339" s="5" t="str">
        <f>IFERROR(__xludf.DUMMYFUNCTION("""COMPUTED_VALUE"""),"SATURN J")</f>
        <v>SATURN J</v>
      </c>
      <c r="D339" s="5">
        <f>IFERROR(__xludf.DUMMYFUNCTION("""COMPUTED_VALUE"""),9546174.0)</f>
        <v>9546174</v>
      </c>
      <c r="E339" s="5" t="str">
        <f>IFERROR(__xludf.DUMMYFUNCTION("""COMPUTED_VALUE"""),"Chornomorsk")</f>
        <v>Chornomorsk</v>
      </c>
      <c r="F339" s="5" t="str">
        <f>IFERROR(__xludf.DUMMYFUNCTION("""COMPUTED_VALUE"""),"Tunisia")</f>
        <v>Tunisia</v>
      </c>
      <c r="G339" s="5" t="str">
        <f>IFERROR(__xludf.DUMMYFUNCTION("""COMPUTED_VALUE"""),"Corn")</f>
        <v>Corn</v>
      </c>
      <c r="H339" s="6">
        <f>IFERROR(__xludf.DUMMYFUNCTION("""COMPUTED_VALUE"""),30050.0)</f>
        <v>30050</v>
      </c>
      <c r="I339" s="7">
        <f>IFERROR(__xludf.DUMMYFUNCTION("""COMPUTED_VALUE"""),44963.0)</f>
        <v>44963</v>
      </c>
      <c r="J339" s="7">
        <f>IFERROR(__xludf.DUMMYFUNCTION("""COMPUTED_VALUE"""),44970.0)</f>
        <v>44970</v>
      </c>
      <c r="K339" s="5" t="str">
        <f>IFERROR(__xludf.DUMMYFUNCTION("""COMPUTED_VALUE"""),"lower-middle income")</f>
        <v>lower-middle income</v>
      </c>
      <c r="L339" s="5" t="str">
        <f>IFERROR(__xludf.DUMMYFUNCTION("""COMPUTED_VALUE"""),"Palau")</f>
        <v>Palau</v>
      </c>
      <c r="M339" s="5" t="str">
        <f>IFERROR(__xludf.DUMMYFUNCTION("""COMPUTED_VALUE"""),"Middle East &amp; North Africa")</f>
        <v>Middle East &amp; North Africa</v>
      </c>
      <c r="N339" s="5" t="str">
        <f>IFERROR(__xludf.DUMMYFUNCTION("""COMPUTED_VALUE"""),"Africa")</f>
        <v>Africa</v>
      </c>
      <c r="O339" s="5" t="str">
        <f>IFERROR(__xludf.DUMMYFUNCTION("""COMPUTED_VALUE"""),"developing")</f>
        <v>developing</v>
      </c>
      <c r="P339" s="5"/>
      <c r="Q339" s="5"/>
    </row>
    <row r="340">
      <c r="A340" s="5" t="str">
        <f>IFERROR(__xludf.DUMMYFUNCTION("""COMPUTED_VALUE"""),"Outbound")</f>
        <v>Outbound</v>
      </c>
      <c r="B340" s="5">
        <f>IFERROR(__xludf.DUMMYFUNCTION("""COMPUTED_VALUE"""),714.0)</f>
        <v>714</v>
      </c>
      <c r="C340" s="5" t="str">
        <f>IFERROR(__xludf.DUMMYFUNCTION("""COMPUTED_VALUE"""),"SAINT MYRON")</f>
        <v>SAINT MYRON</v>
      </c>
      <c r="D340" s="5">
        <f>IFERROR(__xludf.DUMMYFUNCTION("""COMPUTED_VALUE"""),9675597.0)</f>
        <v>9675597</v>
      </c>
      <c r="E340" s="5" t="str">
        <f>IFERROR(__xludf.DUMMYFUNCTION("""COMPUTED_VALUE"""),"Yuzhny/Pivdennyi")</f>
        <v>Yuzhny/Pivdennyi</v>
      </c>
      <c r="F340" s="5" t="str">
        <f>IFERROR(__xludf.DUMMYFUNCTION("""COMPUTED_VALUE"""),"Spain")</f>
        <v>Spain</v>
      </c>
      <c r="G340" s="5" t="str">
        <f>IFERROR(__xludf.DUMMYFUNCTION("""COMPUTED_VALUE"""),"Wheat")</f>
        <v>Wheat</v>
      </c>
      <c r="H340" s="6">
        <f>IFERROR(__xludf.DUMMYFUNCTION("""COMPUTED_VALUE"""),67000.0)</f>
        <v>67000</v>
      </c>
      <c r="I340" s="7">
        <f>IFERROR(__xludf.DUMMYFUNCTION("""COMPUTED_VALUE"""),44963.0)</f>
        <v>44963</v>
      </c>
      <c r="J340" s="7">
        <f>IFERROR(__xludf.DUMMYFUNCTION("""COMPUTED_VALUE"""),44969.0)</f>
        <v>44969</v>
      </c>
      <c r="K340" s="5" t="str">
        <f>IFERROR(__xludf.DUMMYFUNCTION("""COMPUTED_VALUE"""),"high-income")</f>
        <v>high-income</v>
      </c>
      <c r="L340" s="5" t="str">
        <f>IFERROR(__xludf.DUMMYFUNCTION("""COMPUTED_VALUE"""),"Malta")</f>
        <v>Malta</v>
      </c>
      <c r="M340" s="5" t="str">
        <f>IFERROR(__xludf.DUMMYFUNCTION("""COMPUTED_VALUE"""),"Europe &amp; Central Asia")</f>
        <v>Europe &amp; Central Asia</v>
      </c>
      <c r="N340" s="5" t="str">
        <f>IFERROR(__xludf.DUMMYFUNCTION("""COMPUTED_VALUE"""),"Western Europe and Others")</f>
        <v>Western Europe and Others</v>
      </c>
      <c r="O340" s="5" t="str">
        <f>IFERROR(__xludf.DUMMYFUNCTION("""COMPUTED_VALUE"""),"developed")</f>
        <v>developed</v>
      </c>
      <c r="P340" s="5"/>
      <c r="Q340" s="5"/>
    </row>
    <row r="341">
      <c r="A341" s="5" t="str">
        <f>IFERROR(__xludf.DUMMYFUNCTION("""COMPUTED_VALUE"""),"Outbound")</f>
        <v>Outbound</v>
      </c>
      <c r="B341" s="5">
        <f>IFERROR(__xludf.DUMMYFUNCTION("""COMPUTED_VALUE"""),713.0)</f>
        <v>713</v>
      </c>
      <c r="C341" s="5" t="str">
        <f>IFERROR(__xludf.DUMMYFUNCTION("""COMPUTED_VALUE"""),"NIHAT-M")</f>
        <v>NIHAT-M</v>
      </c>
      <c r="D341" s="5">
        <f>IFERROR(__xludf.DUMMYFUNCTION("""COMPUTED_VALUE"""),9185815.0)</f>
        <v>9185815</v>
      </c>
      <c r="E341" s="5" t="str">
        <f>IFERROR(__xludf.DUMMYFUNCTION("""COMPUTED_VALUE"""),"Odesa")</f>
        <v>Odesa</v>
      </c>
      <c r="F341" s="5" t="str">
        <f>IFERROR(__xludf.DUMMYFUNCTION("""COMPUTED_VALUE"""),"Italy")</f>
        <v>Italy</v>
      </c>
      <c r="G341" s="5" t="str">
        <f>IFERROR(__xludf.DUMMYFUNCTION("""COMPUTED_VALUE"""),"Corn")</f>
        <v>Corn</v>
      </c>
      <c r="H341" s="6">
        <f>IFERROR(__xludf.DUMMYFUNCTION("""COMPUTED_VALUE"""),28500.0)</f>
        <v>28500</v>
      </c>
      <c r="I341" s="7">
        <f>IFERROR(__xludf.DUMMYFUNCTION("""COMPUTED_VALUE"""),44963.0)</f>
        <v>44963</v>
      </c>
      <c r="J341" s="7">
        <f>IFERROR(__xludf.DUMMYFUNCTION("""COMPUTED_VALUE"""),44969.0)</f>
        <v>44969</v>
      </c>
      <c r="K341" s="5" t="str">
        <f>IFERROR(__xludf.DUMMYFUNCTION("""COMPUTED_VALUE"""),"high-income")</f>
        <v>high-income</v>
      </c>
      <c r="L341" s="5" t="str">
        <f>IFERROR(__xludf.DUMMYFUNCTION("""COMPUTED_VALUE"""),"Panama")</f>
        <v>Panama</v>
      </c>
      <c r="M341" s="5" t="str">
        <f>IFERROR(__xludf.DUMMYFUNCTION("""COMPUTED_VALUE"""),"Europe &amp; Central Asia")</f>
        <v>Europe &amp; Central Asia</v>
      </c>
      <c r="N341" s="5" t="str">
        <f>IFERROR(__xludf.DUMMYFUNCTION("""COMPUTED_VALUE"""),"Western Europe and Others")</f>
        <v>Western Europe and Others</v>
      </c>
      <c r="O341" s="5" t="str">
        <f>IFERROR(__xludf.DUMMYFUNCTION("""COMPUTED_VALUE"""),"developed")</f>
        <v>developed</v>
      </c>
      <c r="P341" s="5"/>
      <c r="Q341" s="5"/>
    </row>
    <row r="342">
      <c r="A342" s="5" t="str">
        <f>IFERROR(__xludf.DUMMYFUNCTION("""COMPUTED_VALUE"""),"Outbound")</f>
        <v>Outbound</v>
      </c>
      <c r="B342" s="5">
        <f>IFERROR(__xludf.DUMMYFUNCTION("""COMPUTED_VALUE"""),712.0)</f>
        <v>712</v>
      </c>
      <c r="C342" s="5" t="str">
        <f>IFERROR(__xludf.DUMMYFUNCTION("""COMPUTED_VALUE"""),"NEW EXPLORER")</f>
        <v>NEW EXPLORER</v>
      </c>
      <c r="D342" s="5">
        <f>IFERROR(__xludf.DUMMYFUNCTION("""COMPUTED_VALUE"""),9481489.0)</f>
        <v>9481489</v>
      </c>
      <c r="E342" s="5" t="str">
        <f>IFERROR(__xludf.DUMMYFUNCTION("""COMPUTED_VALUE"""),"Yuzhny/Pivdennyi")</f>
        <v>Yuzhny/Pivdennyi</v>
      </c>
      <c r="F342" s="5" t="str">
        <f>IFERROR(__xludf.DUMMYFUNCTION("""COMPUTED_VALUE"""),"The Netherlands")</f>
        <v>The Netherlands</v>
      </c>
      <c r="G342" s="5" t="str">
        <f>IFERROR(__xludf.DUMMYFUNCTION("""COMPUTED_VALUE"""),"Corn")</f>
        <v>Corn</v>
      </c>
      <c r="H342" s="6">
        <f>IFERROR(__xludf.DUMMYFUNCTION("""COMPUTED_VALUE"""),68370.0)</f>
        <v>68370</v>
      </c>
      <c r="I342" s="7">
        <f>IFERROR(__xludf.DUMMYFUNCTION("""COMPUTED_VALUE"""),44963.0)</f>
        <v>44963</v>
      </c>
      <c r="J342" s="7">
        <f>IFERROR(__xludf.DUMMYFUNCTION("""COMPUTED_VALUE"""),44969.0)</f>
        <v>44969</v>
      </c>
      <c r="K342" s="5" t="str">
        <f>IFERROR(__xludf.DUMMYFUNCTION("""COMPUTED_VALUE"""),"high-income")</f>
        <v>high-income</v>
      </c>
      <c r="L342" s="5" t="str">
        <f>IFERROR(__xludf.DUMMYFUNCTION("""COMPUTED_VALUE"""),"Liberia")</f>
        <v>Liberia</v>
      </c>
      <c r="M342" s="5" t="str">
        <f>IFERROR(__xludf.DUMMYFUNCTION("""COMPUTED_VALUE"""),"Europe &amp; Central Asia")</f>
        <v>Europe &amp; Central Asia</v>
      </c>
      <c r="N342" s="5" t="str">
        <f>IFERROR(__xludf.DUMMYFUNCTION("""COMPUTED_VALUE"""),"Western Europe and Others")</f>
        <v>Western Europe and Others</v>
      </c>
      <c r="O342" s="5" t="str">
        <f>IFERROR(__xludf.DUMMYFUNCTION("""COMPUTED_VALUE"""),"developed")</f>
        <v>developed</v>
      </c>
      <c r="P342" s="5"/>
      <c r="Q342" s="5"/>
    </row>
    <row r="343">
      <c r="A343" s="5" t="str">
        <f>IFERROR(__xludf.DUMMYFUNCTION("""COMPUTED_VALUE"""),"Outbound")</f>
        <v>Outbound</v>
      </c>
      <c r="B343" s="5">
        <f>IFERROR(__xludf.DUMMYFUNCTION("""COMPUTED_VALUE"""),711.0)</f>
        <v>711</v>
      </c>
      <c r="C343" s="5" t="str">
        <f>IFERROR(__xludf.DUMMYFUNCTION("""COMPUTED_VALUE"""),"MINOAN SKY")</f>
        <v>MINOAN SKY</v>
      </c>
      <c r="D343" s="5">
        <f>IFERROR(__xludf.DUMMYFUNCTION("""COMPUTED_VALUE"""),9422348.0)</f>
        <v>9422348</v>
      </c>
      <c r="E343" s="5" t="str">
        <f>IFERROR(__xludf.DUMMYFUNCTION("""COMPUTED_VALUE"""),"Chornomorsk")</f>
        <v>Chornomorsk</v>
      </c>
      <c r="F343" s="5" t="str">
        <f>IFERROR(__xludf.DUMMYFUNCTION("""COMPUTED_VALUE"""),"China")</f>
        <v>China</v>
      </c>
      <c r="G343" s="5" t="str">
        <f>IFERROR(__xludf.DUMMYFUNCTION("""COMPUTED_VALUE"""),"Corn")</f>
        <v>Corn</v>
      </c>
      <c r="H343" s="6">
        <f>IFERROR(__xludf.DUMMYFUNCTION("""COMPUTED_VALUE"""),61774.0)</f>
        <v>61774</v>
      </c>
      <c r="I343" s="7">
        <f>IFERROR(__xludf.DUMMYFUNCTION("""COMPUTED_VALUE"""),44963.0)</f>
        <v>44963</v>
      </c>
      <c r="J343" s="7">
        <f>IFERROR(__xludf.DUMMYFUNCTION("""COMPUTED_VALUE"""),44968.0)</f>
        <v>44968</v>
      </c>
      <c r="K343" s="5" t="str">
        <f>IFERROR(__xludf.DUMMYFUNCTION("""COMPUTED_VALUE"""),"upper-middle-income")</f>
        <v>upper-middle-income</v>
      </c>
      <c r="L343" s="5" t="str">
        <f>IFERROR(__xludf.DUMMYFUNCTION("""COMPUTED_VALUE"""),"Liberia")</f>
        <v>Liberia</v>
      </c>
      <c r="M343" s="5" t="str">
        <f>IFERROR(__xludf.DUMMYFUNCTION("""COMPUTED_VALUE"""),"East Asia &amp; Pacific")</f>
        <v>East Asia &amp; Pacific</v>
      </c>
      <c r="N343" s="5" t="str">
        <f>IFERROR(__xludf.DUMMYFUNCTION("""COMPUTED_VALUE"""),"Asia-Pacific")</f>
        <v>Asia-Pacific</v>
      </c>
      <c r="O343" s="5" t="str">
        <f>IFERROR(__xludf.DUMMYFUNCTION("""COMPUTED_VALUE"""),"developing")</f>
        <v>developing</v>
      </c>
      <c r="P343" s="5"/>
      <c r="Q343" s="5"/>
    </row>
    <row r="344">
      <c r="A344" s="5" t="str">
        <f>IFERROR(__xludf.DUMMYFUNCTION("""COMPUTED_VALUE"""),"Outbound")</f>
        <v>Outbound</v>
      </c>
      <c r="B344" s="5">
        <f>IFERROR(__xludf.DUMMYFUNCTION("""COMPUTED_VALUE"""),710.0)</f>
        <v>710</v>
      </c>
      <c r="C344" s="5" t="str">
        <f>IFERROR(__xludf.DUMMYFUNCTION("""COMPUTED_VALUE"""),"PEACE M")</f>
        <v>PEACE M</v>
      </c>
      <c r="D344" s="5">
        <f>IFERROR(__xludf.DUMMYFUNCTION("""COMPUTED_VALUE"""),9086318.0)</f>
        <v>9086318</v>
      </c>
      <c r="E344" s="5" t="str">
        <f>IFERROR(__xludf.DUMMYFUNCTION("""COMPUTED_VALUE"""),"Yuzhny/Pivdennyi")</f>
        <v>Yuzhny/Pivdennyi</v>
      </c>
      <c r="F344" s="5" t="str">
        <f>IFERROR(__xludf.DUMMYFUNCTION("""COMPUTED_VALUE"""),"Türkiye")</f>
        <v>Türkiye</v>
      </c>
      <c r="G344" s="5" t="str">
        <f>IFERROR(__xludf.DUMMYFUNCTION("""COMPUTED_VALUE"""),"Wheat")</f>
        <v>Wheat</v>
      </c>
      <c r="H344" s="6">
        <f>IFERROR(__xludf.DUMMYFUNCTION("""COMPUTED_VALUE"""),25000.0)</f>
        <v>25000</v>
      </c>
      <c r="I344" s="7">
        <f>IFERROR(__xludf.DUMMYFUNCTION("""COMPUTED_VALUE"""),44963.0)</f>
        <v>44963</v>
      </c>
      <c r="J344" s="7">
        <f>IFERROR(__xludf.DUMMYFUNCTION("""COMPUTED_VALUE"""),44971.0)</f>
        <v>44971</v>
      </c>
      <c r="K344" s="5" t="str">
        <f>IFERROR(__xludf.DUMMYFUNCTION("""COMPUTED_VALUE"""),"upper-middle-income")</f>
        <v>upper-middle-income</v>
      </c>
      <c r="L344" s="5" t="str">
        <f>IFERROR(__xludf.DUMMYFUNCTION("""COMPUTED_VALUE"""),"Palau")</f>
        <v>Palau</v>
      </c>
      <c r="M344" s="5" t="str">
        <f>IFERROR(__xludf.DUMMYFUNCTION("""COMPUTED_VALUE"""),"Europe &amp; Central Asia")</f>
        <v>Europe &amp; Central Asia</v>
      </c>
      <c r="N344" s="5" t="str">
        <f>IFERROR(__xludf.DUMMYFUNCTION("""COMPUTED_VALUE"""),"Asia-Pacific")</f>
        <v>Asia-Pacific</v>
      </c>
      <c r="O344" s="5" t="str">
        <f>IFERROR(__xludf.DUMMYFUNCTION("""COMPUTED_VALUE"""),"developing")</f>
        <v>developing</v>
      </c>
      <c r="P344" s="5"/>
      <c r="Q344" s="5"/>
    </row>
    <row r="345">
      <c r="A345" s="5" t="str">
        <f>IFERROR(__xludf.DUMMYFUNCTION("""COMPUTED_VALUE"""),"Outbound")</f>
        <v>Outbound</v>
      </c>
      <c r="B345" s="5">
        <f>IFERROR(__xludf.DUMMYFUNCTION("""COMPUTED_VALUE"""),709.0)</f>
        <v>709</v>
      </c>
      <c r="C345" s="5" t="str">
        <f>IFERROR(__xludf.DUMMYFUNCTION("""COMPUTED_VALUE"""),"DENSA PELICAN")</f>
        <v>DENSA PELICAN</v>
      </c>
      <c r="D345" s="5">
        <f>IFERROR(__xludf.DUMMYFUNCTION("""COMPUTED_VALUE"""),9603300.0)</f>
        <v>9603300</v>
      </c>
      <c r="E345" s="5" t="str">
        <f>IFERROR(__xludf.DUMMYFUNCTION("""COMPUTED_VALUE"""),"Yuzhny/Pivdennyi")</f>
        <v>Yuzhny/Pivdennyi</v>
      </c>
      <c r="F345" s="5" t="str">
        <f>IFERROR(__xludf.DUMMYFUNCTION("""COMPUTED_VALUE"""),"China")</f>
        <v>China</v>
      </c>
      <c r="G345" s="5" t="str">
        <f>IFERROR(__xludf.DUMMYFUNCTION("""COMPUTED_VALUE"""),"Sunflower meal")</f>
        <v>Sunflower meal</v>
      </c>
      <c r="H345" s="6">
        <f>IFERROR(__xludf.DUMMYFUNCTION("""COMPUTED_VALUE"""),63448.0)</f>
        <v>63448</v>
      </c>
      <c r="I345" s="7">
        <f>IFERROR(__xludf.DUMMYFUNCTION("""COMPUTED_VALUE"""),44963.0)</f>
        <v>44963</v>
      </c>
      <c r="J345" s="7">
        <f>IFERROR(__xludf.DUMMYFUNCTION("""COMPUTED_VALUE"""),44973.0)</f>
        <v>44973</v>
      </c>
      <c r="K345" s="5" t="str">
        <f>IFERROR(__xludf.DUMMYFUNCTION("""COMPUTED_VALUE"""),"upper-middle-income")</f>
        <v>upper-middle-income</v>
      </c>
      <c r="L345" s="5" t="str">
        <f>IFERROR(__xludf.DUMMYFUNCTION("""COMPUTED_VALUE"""),"Malta")</f>
        <v>Malta</v>
      </c>
      <c r="M345" s="5" t="str">
        <f>IFERROR(__xludf.DUMMYFUNCTION("""COMPUTED_VALUE"""),"East Asia &amp; Pacific")</f>
        <v>East Asia &amp; Pacific</v>
      </c>
      <c r="N345" s="5" t="str">
        <f>IFERROR(__xludf.DUMMYFUNCTION("""COMPUTED_VALUE"""),"Asia-Pacific")</f>
        <v>Asia-Pacific</v>
      </c>
      <c r="O345" s="5" t="str">
        <f>IFERROR(__xludf.DUMMYFUNCTION("""COMPUTED_VALUE"""),"developing")</f>
        <v>developing</v>
      </c>
      <c r="P345" s="5"/>
      <c r="Q345" s="5"/>
    </row>
    <row r="346">
      <c r="A346" s="5" t="str">
        <f>IFERROR(__xludf.DUMMYFUNCTION("""COMPUTED_VALUE"""),"Outbound")</f>
        <v>Outbound</v>
      </c>
      <c r="B346" s="5">
        <f>IFERROR(__xludf.DUMMYFUNCTION("""COMPUTED_VALUE"""),708.0)</f>
        <v>708</v>
      </c>
      <c r="C346" s="5" t="str">
        <f>IFERROR(__xludf.DUMMYFUNCTION("""COMPUTED_VALUE"""),"DALIAN STAR D")</f>
        <v>DALIAN STAR D</v>
      </c>
      <c r="D346" s="5">
        <f>IFERROR(__xludf.DUMMYFUNCTION("""COMPUTED_VALUE"""),9324148.0)</f>
        <v>9324148</v>
      </c>
      <c r="E346" s="5" t="str">
        <f>IFERROR(__xludf.DUMMYFUNCTION("""COMPUTED_VALUE"""),"Chornomorsk")</f>
        <v>Chornomorsk</v>
      </c>
      <c r="F346" s="5" t="str">
        <f>IFERROR(__xludf.DUMMYFUNCTION("""COMPUTED_VALUE"""),"Türkiye")</f>
        <v>Türkiye</v>
      </c>
      <c r="G346" s="5" t="str">
        <f>IFERROR(__xludf.DUMMYFUNCTION("""COMPUTED_VALUE"""),"Barley")</f>
        <v>Barley</v>
      </c>
      <c r="H346" s="6">
        <f>IFERROR(__xludf.DUMMYFUNCTION("""COMPUTED_VALUE"""),48087.0)</f>
        <v>48087</v>
      </c>
      <c r="I346" s="7">
        <f>IFERROR(__xludf.DUMMYFUNCTION("""COMPUTED_VALUE"""),44963.0)</f>
        <v>44963</v>
      </c>
      <c r="J346" s="7">
        <f>IFERROR(__xludf.DUMMYFUNCTION("""COMPUTED_VALUE"""),44970.0)</f>
        <v>44970</v>
      </c>
      <c r="K346" s="5" t="str">
        <f>IFERROR(__xludf.DUMMYFUNCTION("""COMPUTED_VALUE"""),"upper-middle-income")</f>
        <v>upper-middle-income</v>
      </c>
      <c r="L346" s="5" t="str">
        <f>IFERROR(__xludf.DUMMYFUNCTION("""COMPUTED_VALUE"""),"Marshall Islands")</f>
        <v>Marshall Islands</v>
      </c>
      <c r="M346" s="5" t="str">
        <f>IFERROR(__xludf.DUMMYFUNCTION("""COMPUTED_VALUE"""),"Europe &amp; Central Asia")</f>
        <v>Europe &amp; Central Asia</v>
      </c>
      <c r="N346" s="5" t="str">
        <f>IFERROR(__xludf.DUMMYFUNCTION("""COMPUTED_VALUE"""),"Asia-Pacific")</f>
        <v>Asia-Pacific</v>
      </c>
      <c r="O346" s="5" t="str">
        <f>IFERROR(__xludf.DUMMYFUNCTION("""COMPUTED_VALUE"""),"developing")</f>
        <v>developing</v>
      </c>
      <c r="P346" s="5"/>
      <c r="Q346" s="5"/>
    </row>
    <row r="347">
      <c r="A347" s="5" t="str">
        <f>IFERROR(__xludf.DUMMYFUNCTION("""COMPUTED_VALUE"""),"Outbound")</f>
        <v>Outbound</v>
      </c>
      <c r="B347" s="5">
        <f>IFERROR(__xludf.DUMMYFUNCTION("""COMPUTED_VALUE"""),707.0)</f>
        <v>707</v>
      </c>
      <c r="C347" s="5" t="str">
        <f>IFERROR(__xludf.DUMMYFUNCTION("""COMPUTED_VALUE"""),"YOGA")</f>
        <v>YOGA</v>
      </c>
      <c r="D347" s="5">
        <f>IFERROR(__xludf.DUMMYFUNCTION("""COMPUTED_VALUE"""),9790921.0)</f>
        <v>9790921</v>
      </c>
      <c r="E347" s="5" t="str">
        <f>IFERROR(__xludf.DUMMYFUNCTION("""COMPUTED_VALUE"""),"Yuzhny/Pivdennyi")</f>
        <v>Yuzhny/Pivdennyi</v>
      </c>
      <c r="F347" s="5" t="str">
        <f>IFERROR(__xludf.DUMMYFUNCTION("""COMPUTED_VALUE"""),"China")</f>
        <v>China</v>
      </c>
      <c r="G347" s="5" t="str">
        <f>IFERROR(__xludf.DUMMYFUNCTION("""COMPUTED_VALUE"""),"Corn")</f>
        <v>Corn</v>
      </c>
      <c r="H347" s="6">
        <f>IFERROR(__xludf.DUMMYFUNCTION("""COMPUTED_VALUE"""),59224.0)</f>
        <v>59224</v>
      </c>
      <c r="I347" s="7">
        <f>IFERROR(__xludf.DUMMYFUNCTION("""COMPUTED_VALUE"""),44962.0)</f>
        <v>44962</v>
      </c>
      <c r="J347" s="7">
        <f>IFERROR(__xludf.DUMMYFUNCTION("""COMPUTED_VALUE"""),44967.0)</f>
        <v>44967</v>
      </c>
      <c r="K347" s="5" t="str">
        <f>IFERROR(__xludf.DUMMYFUNCTION("""COMPUTED_VALUE"""),"upper-middle-income")</f>
        <v>upper-middle-income</v>
      </c>
      <c r="L347" s="5" t="str">
        <f>IFERROR(__xludf.DUMMYFUNCTION("""COMPUTED_VALUE"""),"Marshall Islands")</f>
        <v>Marshall Islands</v>
      </c>
      <c r="M347" s="5" t="str">
        <f>IFERROR(__xludf.DUMMYFUNCTION("""COMPUTED_VALUE"""),"East Asia &amp; Pacific")</f>
        <v>East Asia &amp; Pacific</v>
      </c>
      <c r="N347" s="5" t="str">
        <f>IFERROR(__xludf.DUMMYFUNCTION("""COMPUTED_VALUE"""),"Asia-Pacific")</f>
        <v>Asia-Pacific</v>
      </c>
      <c r="O347" s="5" t="str">
        <f>IFERROR(__xludf.DUMMYFUNCTION("""COMPUTED_VALUE"""),"developing")</f>
        <v>developing</v>
      </c>
      <c r="P347" s="5"/>
      <c r="Q347" s="5"/>
    </row>
    <row r="348">
      <c r="A348" s="5" t="str">
        <f>IFERROR(__xludf.DUMMYFUNCTION("""COMPUTED_VALUE"""),"Outbound")</f>
        <v>Outbound</v>
      </c>
      <c r="B348" s="5">
        <f>IFERROR(__xludf.DUMMYFUNCTION("""COMPUTED_VALUE"""),706.0)</f>
        <v>706</v>
      </c>
      <c r="C348" s="5" t="str">
        <f>IFERROR(__xludf.DUMMYFUNCTION("""COMPUTED_VALUE"""),"ZHE HAI 525")</f>
        <v>ZHE HAI 525</v>
      </c>
      <c r="D348" s="5">
        <f>IFERROR(__xludf.DUMMYFUNCTION("""COMPUTED_VALUE"""),9567518.0)</f>
        <v>9567518</v>
      </c>
      <c r="E348" s="5" t="str">
        <f>IFERROR(__xludf.DUMMYFUNCTION("""COMPUTED_VALUE"""),"Chornomorsk")</f>
        <v>Chornomorsk</v>
      </c>
      <c r="F348" s="5" t="str">
        <f>IFERROR(__xludf.DUMMYFUNCTION("""COMPUTED_VALUE"""),"China")</f>
        <v>China</v>
      </c>
      <c r="G348" s="5" t="str">
        <f>IFERROR(__xludf.DUMMYFUNCTION("""COMPUTED_VALUE"""),"Corn")</f>
        <v>Corn</v>
      </c>
      <c r="H348" s="6">
        <f>IFERROR(__xludf.DUMMYFUNCTION("""COMPUTED_VALUE"""),51608.0)</f>
        <v>51608</v>
      </c>
      <c r="I348" s="7">
        <f>IFERROR(__xludf.DUMMYFUNCTION("""COMPUTED_VALUE"""),44961.0)</f>
        <v>44961</v>
      </c>
      <c r="J348" s="7">
        <f>IFERROR(__xludf.DUMMYFUNCTION("""COMPUTED_VALUE"""),44969.0)</f>
        <v>44969</v>
      </c>
      <c r="K348" s="5" t="str">
        <f>IFERROR(__xludf.DUMMYFUNCTION("""COMPUTED_VALUE"""),"upper-middle-income")</f>
        <v>upper-middle-income</v>
      </c>
      <c r="L348" s="5" t="str">
        <f>IFERROR(__xludf.DUMMYFUNCTION("""COMPUTED_VALUE"""),"China")</f>
        <v>China</v>
      </c>
      <c r="M348" s="5" t="str">
        <f>IFERROR(__xludf.DUMMYFUNCTION("""COMPUTED_VALUE"""),"East Asia &amp; Pacific")</f>
        <v>East Asia &amp; Pacific</v>
      </c>
      <c r="N348" s="5" t="str">
        <f>IFERROR(__xludf.DUMMYFUNCTION("""COMPUTED_VALUE"""),"Asia-Pacific")</f>
        <v>Asia-Pacific</v>
      </c>
      <c r="O348" s="5" t="str">
        <f>IFERROR(__xludf.DUMMYFUNCTION("""COMPUTED_VALUE"""),"developing")</f>
        <v>developing</v>
      </c>
      <c r="P348" s="5"/>
      <c r="Q348" s="5"/>
    </row>
    <row r="349">
      <c r="A349" s="5" t="str">
        <f>IFERROR(__xludf.DUMMYFUNCTION("""COMPUTED_VALUE"""),"Outbound")</f>
        <v>Outbound</v>
      </c>
      <c r="B349" s="5">
        <f>IFERROR(__xludf.DUMMYFUNCTION("""COMPUTED_VALUE"""),705.0)</f>
        <v>705</v>
      </c>
      <c r="C349" s="5" t="str">
        <f>IFERROR(__xludf.DUMMYFUNCTION("""COMPUTED_VALUE"""),"NORD STARK")</f>
        <v>NORD STARK</v>
      </c>
      <c r="D349" s="5">
        <f>IFERROR(__xludf.DUMMYFUNCTION("""COMPUTED_VALUE"""),9691591.0)</f>
        <v>9691591</v>
      </c>
      <c r="E349" s="5" t="str">
        <f>IFERROR(__xludf.DUMMYFUNCTION("""COMPUTED_VALUE"""),"Odesa")</f>
        <v>Odesa</v>
      </c>
      <c r="F349" s="5" t="str">
        <f>IFERROR(__xludf.DUMMYFUNCTION("""COMPUTED_VALUE"""),"Tunisia")</f>
        <v>Tunisia</v>
      </c>
      <c r="G349" s="5" t="str">
        <f>IFERROR(__xludf.DUMMYFUNCTION("""COMPUTED_VALUE"""),"Barley")</f>
        <v>Barley</v>
      </c>
      <c r="H349" s="6">
        <f>IFERROR(__xludf.DUMMYFUNCTION("""COMPUTED_VALUE"""),25800.0)</f>
        <v>25800</v>
      </c>
      <c r="I349" s="7">
        <f>IFERROR(__xludf.DUMMYFUNCTION("""COMPUTED_VALUE"""),44961.0)</f>
        <v>44961</v>
      </c>
      <c r="J349" s="7">
        <f>IFERROR(__xludf.DUMMYFUNCTION("""COMPUTED_VALUE"""),44966.0)</f>
        <v>44966</v>
      </c>
      <c r="K349" s="5" t="str">
        <f>IFERROR(__xludf.DUMMYFUNCTION("""COMPUTED_VALUE"""),"lower-middle income")</f>
        <v>lower-middle income</v>
      </c>
      <c r="L349" s="5" t="str">
        <f>IFERROR(__xludf.DUMMYFUNCTION("""COMPUTED_VALUE"""),"Barbados")</f>
        <v>Barbados</v>
      </c>
      <c r="M349" s="5" t="str">
        <f>IFERROR(__xludf.DUMMYFUNCTION("""COMPUTED_VALUE"""),"Middle East &amp; North Africa")</f>
        <v>Middle East &amp; North Africa</v>
      </c>
      <c r="N349" s="5" t="str">
        <f>IFERROR(__xludf.DUMMYFUNCTION("""COMPUTED_VALUE"""),"Africa")</f>
        <v>Africa</v>
      </c>
      <c r="O349" s="5" t="str">
        <f>IFERROR(__xludf.DUMMYFUNCTION("""COMPUTED_VALUE"""),"developing")</f>
        <v>developing</v>
      </c>
      <c r="P349" s="5"/>
      <c r="Q349" s="5"/>
    </row>
    <row r="350">
      <c r="A350" s="5" t="str">
        <f>IFERROR(__xludf.DUMMYFUNCTION("""COMPUTED_VALUE"""),"Outbound")</f>
        <v>Outbound</v>
      </c>
      <c r="B350" s="5">
        <f>IFERROR(__xludf.DUMMYFUNCTION("""COMPUTED_VALUE"""),704.0)</f>
        <v>704</v>
      </c>
      <c r="C350" s="5" t="str">
        <f>IFERROR(__xludf.DUMMYFUNCTION("""COMPUTED_VALUE"""),"CETUS")</f>
        <v>CETUS</v>
      </c>
      <c r="D350" s="5">
        <f>IFERROR(__xludf.DUMMYFUNCTION("""COMPUTED_VALUE"""),9276482.0)</f>
        <v>9276482</v>
      </c>
      <c r="E350" s="5" t="str">
        <f>IFERROR(__xludf.DUMMYFUNCTION("""COMPUTED_VALUE"""),"Odesa")</f>
        <v>Odesa</v>
      </c>
      <c r="F350" s="5" t="str">
        <f>IFERROR(__xludf.DUMMYFUNCTION("""COMPUTED_VALUE"""),"Thailand")</f>
        <v>Thailand</v>
      </c>
      <c r="G350" s="5" t="str">
        <f>IFERROR(__xludf.DUMMYFUNCTION("""COMPUTED_VALUE"""),"Wheat")</f>
        <v>Wheat</v>
      </c>
      <c r="H350" s="6">
        <f>IFERROR(__xludf.DUMMYFUNCTION("""COMPUTED_VALUE"""),68250.0)</f>
        <v>68250</v>
      </c>
      <c r="I350" s="7">
        <f>IFERROR(__xludf.DUMMYFUNCTION("""COMPUTED_VALUE"""),44961.0)</f>
        <v>44961</v>
      </c>
      <c r="J350" s="7">
        <f>IFERROR(__xludf.DUMMYFUNCTION("""COMPUTED_VALUE"""),44967.0)</f>
        <v>44967</v>
      </c>
      <c r="K350" s="5" t="str">
        <f>IFERROR(__xludf.DUMMYFUNCTION("""COMPUTED_VALUE"""),"upper-middle-income")</f>
        <v>upper-middle-income</v>
      </c>
      <c r="L350" s="5" t="str">
        <f>IFERROR(__xludf.DUMMYFUNCTION("""COMPUTED_VALUE"""),"Liberia")</f>
        <v>Liberia</v>
      </c>
      <c r="M350" s="5" t="str">
        <f>IFERROR(__xludf.DUMMYFUNCTION("""COMPUTED_VALUE"""),"East Asia &amp; Pacific")</f>
        <v>East Asia &amp; Pacific</v>
      </c>
      <c r="N350" s="5" t="str">
        <f>IFERROR(__xludf.DUMMYFUNCTION("""COMPUTED_VALUE"""),"Asia-Pacific")</f>
        <v>Asia-Pacific</v>
      </c>
      <c r="O350" s="5" t="str">
        <f>IFERROR(__xludf.DUMMYFUNCTION("""COMPUTED_VALUE"""),"developing")</f>
        <v>developing</v>
      </c>
      <c r="P350" s="5"/>
      <c r="Q350" s="5"/>
    </row>
    <row r="351">
      <c r="A351" s="5" t="str">
        <f>IFERROR(__xludf.DUMMYFUNCTION("""COMPUTED_VALUE"""),"Outbound")</f>
        <v>Outbound</v>
      </c>
      <c r="B351" s="5">
        <f>IFERROR(__xludf.DUMMYFUNCTION("""COMPUTED_VALUE"""),703.0)</f>
        <v>703</v>
      </c>
      <c r="C351" s="5" t="str">
        <f>IFERROR(__xludf.DUMMYFUNCTION("""COMPUTED_VALUE"""),"AMFITRION")</f>
        <v>AMFITRION</v>
      </c>
      <c r="D351" s="5">
        <f>IFERROR(__xludf.DUMMYFUNCTION("""COMPUTED_VALUE"""),9724623.0)</f>
        <v>9724623</v>
      </c>
      <c r="E351" s="5" t="str">
        <f>IFERROR(__xludf.DUMMYFUNCTION("""COMPUTED_VALUE"""),"Yuzhny/Pivdennyi")</f>
        <v>Yuzhny/Pivdennyi</v>
      </c>
      <c r="F351" s="5" t="str">
        <f>IFERROR(__xludf.DUMMYFUNCTION("""COMPUTED_VALUE"""),"China")</f>
        <v>China</v>
      </c>
      <c r="G351" s="5" t="str">
        <f>IFERROR(__xludf.DUMMYFUNCTION("""COMPUTED_VALUE"""),"Sunflower oil")</f>
        <v>Sunflower oil</v>
      </c>
      <c r="H351" s="6">
        <f>IFERROR(__xludf.DUMMYFUNCTION("""COMPUTED_VALUE"""),40000.0)</f>
        <v>40000</v>
      </c>
      <c r="I351" s="7">
        <f>IFERROR(__xludf.DUMMYFUNCTION("""COMPUTED_VALUE"""),44961.0)</f>
        <v>44961</v>
      </c>
      <c r="J351" s="7">
        <f>IFERROR(__xludf.DUMMYFUNCTION("""COMPUTED_VALUE"""),44967.0)</f>
        <v>44967</v>
      </c>
      <c r="K351" s="5" t="str">
        <f>IFERROR(__xludf.DUMMYFUNCTION("""COMPUTED_VALUE"""),"upper-middle-income")</f>
        <v>upper-middle-income</v>
      </c>
      <c r="L351" s="5" t="str">
        <f>IFERROR(__xludf.DUMMYFUNCTION("""COMPUTED_VALUE"""),"Liberia")</f>
        <v>Liberia</v>
      </c>
      <c r="M351" s="5" t="str">
        <f>IFERROR(__xludf.DUMMYFUNCTION("""COMPUTED_VALUE"""),"East Asia &amp; Pacific")</f>
        <v>East Asia &amp; Pacific</v>
      </c>
      <c r="N351" s="5" t="str">
        <f>IFERROR(__xludf.DUMMYFUNCTION("""COMPUTED_VALUE"""),"Asia-Pacific")</f>
        <v>Asia-Pacific</v>
      </c>
      <c r="O351" s="5" t="str">
        <f>IFERROR(__xludf.DUMMYFUNCTION("""COMPUTED_VALUE"""),"developing")</f>
        <v>developing</v>
      </c>
      <c r="P351" s="5"/>
      <c r="Q351" s="5"/>
    </row>
    <row r="352">
      <c r="A352" s="5" t="str">
        <f>IFERROR(__xludf.DUMMYFUNCTION("""COMPUTED_VALUE"""),"Outbound")</f>
        <v>Outbound</v>
      </c>
      <c r="B352" s="5">
        <f>IFERROR(__xludf.DUMMYFUNCTION("""COMPUTED_VALUE"""),702.0)</f>
        <v>702</v>
      </c>
      <c r="C352" s="5" t="str">
        <f>IFERROR(__xludf.DUMMYFUNCTION("""COMPUTED_VALUE"""),"SUPER ARSENAL")</f>
        <v>SUPER ARSENAL</v>
      </c>
      <c r="D352" s="5">
        <f>IFERROR(__xludf.DUMMYFUNCTION("""COMPUTED_VALUE"""),9316933.0)</f>
        <v>9316933</v>
      </c>
      <c r="E352" s="5" t="str">
        <f>IFERROR(__xludf.DUMMYFUNCTION("""COMPUTED_VALUE"""),"Odesa")</f>
        <v>Odesa</v>
      </c>
      <c r="F352" s="5" t="str">
        <f>IFERROR(__xludf.DUMMYFUNCTION("""COMPUTED_VALUE"""),"Italy")</f>
        <v>Italy</v>
      </c>
      <c r="G352" s="5" t="str">
        <f>IFERROR(__xludf.DUMMYFUNCTION("""COMPUTED_VALUE"""),"Corn")</f>
        <v>Corn</v>
      </c>
      <c r="H352" s="6">
        <f>IFERROR(__xludf.DUMMYFUNCTION("""COMPUTED_VALUE"""),28500.0)</f>
        <v>28500</v>
      </c>
      <c r="I352" s="7">
        <f>IFERROR(__xludf.DUMMYFUNCTION("""COMPUTED_VALUE"""),44960.0)</f>
        <v>44960</v>
      </c>
      <c r="J352" s="7">
        <f>IFERROR(__xludf.DUMMYFUNCTION("""COMPUTED_VALUE"""),44966.0)</f>
        <v>44966</v>
      </c>
      <c r="K352" s="5" t="str">
        <f>IFERROR(__xludf.DUMMYFUNCTION("""COMPUTED_VALUE"""),"high-income")</f>
        <v>high-income</v>
      </c>
      <c r="L352" s="5" t="str">
        <f>IFERROR(__xludf.DUMMYFUNCTION("""COMPUTED_VALUE"""),"St Vincent")</f>
        <v>St Vincent</v>
      </c>
      <c r="M352" s="5" t="str">
        <f>IFERROR(__xludf.DUMMYFUNCTION("""COMPUTED_VALUE"""),"Europe &amp; Central Asia")</f>
        <v>Europe &amp; Central Asia</v>
      </c>
      <c r="N352" s="5" t="str">
        <f>IFERROR(__xludf.DUMMYFUNCTION("""COMPUTED_VALUE"""),"Western Europe and Others")</f>
        <v>Western Europe and Others</v>
      </c>
      <c r="O352" s="5" t="str">
        <f>IFERROR(__xludf.DUMMYFUNCTION("""COMPUTED_VALUE"""),"developed")</f>
        <v>developed</v>
      </c>
      <c r="P352" s="5"/>
      <c r="Q352" s="5"/>
    </row>
    <row r="353">
      <c r="A353" s="5" t="str">
        <f>IFERROR(__xludf.DUMMYFUNCTION("""COMPUTED_VALUE"""),"Outbound")</f>
        <v>Outbound</v>
      </c>
      <c r="B353" s="5">
        <f>IFERROR(__xludf.DUMMYFUNCTION("""COMPUTED_VALUE"""),701.0)</f>
        <v>701</v>
      </c>
      <c r="C353" s="5" t="str">
        <f>IFERROR(__xludf.DUMMYFUNCTION("""COMPUTED_VALUE"""),"HPC UNITY")</f>
        <v>HPC UNITY</v>
      </c>
      <c r="D353" s="5">
        <f>IFERROR(__xludf.DUMMYFUNCTION("""COMPUTED_VALUE"""),9613226.0)</f>
        <v>9613226</v>
      </c>
      <c r="E353" s="5" t="str">
        <f>IFERROR(__xludf.DUMMYFUNCTION("""COMPUTED_VALUE"""),"Odesa")</f>
        <v>Odesa</v>
      </c>
      <c r="F353" s="5" t="str">
        <f>IFERROR(__xludf.DUMMYFUNCTION("""COMPUTED_VALUE"""),"Tunisia")</f>
        <v>Tunisia</v>
      </c>
      <c r="G353" s="5" t="str">
        <f>IFERROR(__xludf.DUMMYFUNCTION("""COMPUTED_VALUE"""),"Wheat")</f>
        <v>Wheat</v>
      </c>
      <c r="H353" s="6">
        <f>IFERROR(__xludf.DUMMYFUNCTION("""COMPUTED_VALUE"""),26500.0)</f>
        <v>26500</v>
      </c>
      <c r="I353" s="7">
        <f>IFERROR(__xludf.DUMMYFUNCTION("""COMPUTED_VALUE"""),44960.0)</f>
        <v>44960</v>
      </c>
      <c r="J353" s="7">
        <f>IFERROR(__xludf.DUMMYFUNCTION("""COMPUTED_VALUE"""),44968.0)</f>
        <v>44968</v>
      </c>
      <c r="K353" s="5" t="str">
        <f>IFERROR(__xludf.DUMMYFUNCTION("""COMPUTED_VALUE"""),"lower-middle income")</f>
        <v>lower-middle income</v>
      </c>
      <c r="L353" s="5" t="str">
        <f>IFERROR(__xludf.DUMMYFUNCTION("""COMPUTED_VALUE"""),"Panama")</f>
        <v>Panama</v>
      </c>
      <c r="M353" s="5" t="str">
        <f>IFERROR(__xludf.DUMMYFUNCTION("""COMPUTED_VALUE"""),"Middle East &amp; North Africa")</f>
        <v>Middle East &amp; North Africa</v>
      </c>
      <c r="N353" s="5" t="str">
        <f>IFERROR(__xludf.DUMMYFUNCTION("""COMPUTED_VALUE"""),"Africa")</f>
        <v>Africa</v>
      </c>
      <c r="O353" s="5" t="str">
        <f>IFERROR(__xludf.DUMMYFUNCTION("""COMPUTED_VALUE"""),"developing")</f>
        <v>developing</v>
      </c>
      <c r="P353" s="5"/>
      <c r="Q353" s="5"/>
    </row>
    <row r="354">
      <c r="A354" s="5" t="str">
        <f>IFERROR(__xludf.DUMMYFUNCTION("""COMPUTED_VALUE"""),"Outbound")</f>
        <v>Outbound</v>
      </c>
      <c r="B354" s="5">
        <f>IFERROR(__xludf.DUMMYFUNCTION("""COMPUTED_VALUE"""),700.0)</f>
        <v>700</v>
      </c>
      <c r="C354" s="5" t="str">
        <f>IFERROR(__xludf.DUMMYFUNCTION("""COMPUTED_VALUE"""),"ELLY")</f>
        <v>ELLY</v>
      </c>
      <c r="D354" s="5">
        <f>IFERROR(__xludf.DUMMYFUNCTION("""COMPUTED_VALUE"""),9164706.0)</f>
        <v>9164706</v>
      </c>
      <c r="E354" s="5" t="str">
        <f>IFERROR(__xludf.DUMMYFUNCTION("""COMPUTED_VALUE"""),"Yuzhny/Pivdennyi")</f>
        <v>Yuzhny/Pivdennyi</v>
      </c>
      <c r="F354" s="5" t="str">
        <f>IFERROR(__xludf.DUMMYFUNCTION("""COMPUTED_VALUE"""),"Spain")</f>
        <v>Spain</v>
      </c>
      <c r="G354" s="5" t="str">
        <f>IFERROR(__xludf.DUMMYFUNCTION("""COMPUTED_VALUE"""),"Wheat")</f>
        <v>Wheat</v>
      </c>
      <c r="H354" s="6">
        <f>IFERROR(__xludf.DUMMYFUNCTION("""COMPUTED_VALUE"""),48867.0)</f>
        <v>48867</v>
      </c>
      <c r="I354" s="7">
        <f>IFERROR(__xludf.DUMMYFUNCTION("""COMPUTED_VALUE"""),44960.0)</f>
        <v>44960</v>
      </c>
      <c r="J354" s="7">
        <f>IFERROR(__xludf.DUMMYFUNCTION("""COMPUTED_VALUE"""),44968.0)</f>
        <v>44968</v>
      </c>
      <c r="K354" s="5" t="str">
        <f>IFERROR(__xludf.DUMMYFUNCTION("""COMPUTED_VALUE"""),"high-income")</f>
        <v>high-income</v>
      </c>
      <c r="L354" s="5" t="str">
        <f>IFERROR(__xludf.DUMMYFUNCTION("""COMPUTED_VALUE"""),"Panama")</f>
        <v>Panama</v>
      </c>
      <c r="M354" s="5" t="str">
        <f>IFERROR(__xludf.DUMMYFUNCTION("""COMPUTED_VALUE"""),"Europe &amp; Central Asia")</f>
        <v>Europe &amp; Central Asia</v>
      </c>
      <c r="N354" s="5" t="str">
        <f>IFERROR(__xludf.DUMMYFUNCTION("""COMPUTED_VALUE"""),"Western Europe and Others")</f>
        <v>Western Europe and Others</v>
      </c>
      <c r="O354" s="5" t="str">
        <f>IFERROR(__xludf.DUMMYFUNCTION("""COMPUTED_VALUE"""),"developed")</f>
        <v>developed</v>
      </c>
      <c r="P354" s="5"/>
      <c r="Q354" s="5"/>
    </row>
    <row r="355">
      <c r="A355" s="5" t="str">
        <f>IFERROR(__xludf.DUMMYFUNCTION("""COMPUTED_VALUE"""),"Outbound +")</f>
        <v>Outbound +</v>
      </c>
      <c r="B355" s="5">
        <f>IFERROR(__xludf.DUMMYFUNCTION("""COMPUTED_VALUE"""),700.0)</f>
        <v>700</v>
      </c>
      <c r="C355" s="5" t="str">
        <f>IFERROR(__xludf.DUMMYFUNCTION("""COMPUTED_VALUE"""),"ELLY")</f>
        <v>ELLY</v>
      </c>
      <c r="D355" s="5">
        <f>IFERROR(__xludf.DUMMYFUNCTION("""COMPUTED_VALUE"""),9164706.0)</f>
        <v>9164706</v>
      </c>
      <c r="E355" s="5" t="str">
        <f>IFERROR(__xludf.DUMMYFUNCTION("""COMPUTED_VALUE"""),"Yuzhny/Pivdennyi")</f>
        <v>Yuzhny/Pivdennyi</v>
      </c>
      <c r="F355" s="5" t="str">
        <f>IFERROR(__xludf.DUMMYFUNCTION("""COMPUTED_VALUE"""),"Spain")</f>
        <v>Spain</v>
      </c>
      <c r="G355" s="5" t="str">
        <f>IFERROR(__xludf.DUMMYFUNCTION("""COMPUTED_VALUE"""),"Barley")</f>
        <v>Barley</v>
      </c>
      <c r="H355" s="6">
        <f>IFERROR(__xludf.DUMMYFUNCTION("""COMPUTED_VALUE"""),18215.0)</f>
        <v>18215</v>
      </c>
      <c r="I355" s="7">
        <f>IFERROR(__xludf.DUMMYFUNCTION("""COMPUTED_VALUE"""),44960.0)</f>
        <v>44960</v>
      </c>
      <c r="J355" s="7">
        <f>IFERROR(__xludf.DUMMYFUNCTION("""COMPUTED_VALUE"""),44968.0)</f>
        <v>44968</v>
      </c>
      <c r="K355" s="5" t="str">
        <f>IFERROR(__xludf.DUMMYFUNCTION("""COMPUTED_VALUE"""),"high-income")</f>
        <v>high-income</v>
      </c>
      <c r="L355" s="5" t="str">
        <f>IFERROR(__xludf.DUMMYFUNCTION("""COMPUTED_VALUE"""),"Panama")</f>
        <v>Panama</v>
      </c>
      <c r="M355" s="5" t="str">
        <f>IFERROR(__xludf.DUMMYFUNCTION("""COMPUTED_VALUE"""),"Europe &amp; Central Asia")</f>
        <v>Europe &amp; Central Asia</v>
      </c>
      <c r="N355" s="5" t="str">
        <f>IFERROR(__xludf.DUMMYFUNCTION("""COMPUTED_VALUE"""),"Western Europe and Others")</f>
        <v>Western Europe and Others</v>
      </c>
      <c r="O355" s="5" t="str">
        <f>IFERROR(__xludf.DUMMYFUNCTION("""COMPUTED_VALUE"""),"developed")</f>
        <v>developed</v>
      </c>
      <c r="P355" s="5"/>
      <c r="Q355" s="5"/>
    </row>
    <row r="356">
      <c r="A356" s="5" t="str">
        <f>IFERROR(__xludf.DUMMYFUNCTION("""COMPUTED_VALUE"""),"Outbound")</f>
        <v>Outbound</v>
      </c>
      <c r="B356" s="5">
        <f>IFERROR(__xludf.DUMMYFUNCTION("""COMPUTED_VALUE"""),699.0)</f>
        <v>699</v>
      </c>
      <c r="C356" s="5" t="str">
        <f>IFERROR(__xludf.DUMMYFUNCTION("""COMPUTED_VALUE"""),"CIHAN")</f>
        <v>CIHAN</v>
      </c>
      <c r="D356" s="5">
        <f>IFERROR(__xludf.DUMMYFUNCTION("""COMPUTED_VALUE"""),9622174.0)</f>
        <v>9622174</v>
      </c>
      <c r="E356" s="5" t="str">
        <f>IFERROR(__xludf.DUMMYFUNCTION("""COMPUTED_VALUE"""),"Yuzhny/Pivdennyi")</f>
        <v>Yuzhny/Pivdennyi</v>
      </c>
      <c r="F356" s="5" t="str">
        <f>IFERROR(__xludf.DUMMYFUNCTION("""COMPUTED_VALUE"""),"Spain")</f>
        <v>Spain</v>
      </c>
      <c r="G356" s="5" t="str">
        <f>IFERROR(__xludf.DUMMYFUNCTION("""COMPUTED_VALUE"""),"Wheat")</f>
        <v>Wheat</v>
      </c>
      <c r="H356" s="6">
        <f>IFERROR(__xludf.DUMMYFUNCTION("""COMPUTED_VALUE"""),51529.0)</f>
        <v>51529</v>
      </c>
      <c r="I356" s="7">
        <f>IFERROR(__xludf.DUMMYFUNCTION("""COMPUTED_VALUE"""),44960.0)</f>
        <v>44960</v>
      </c>
      <c r="J356" s="7">
        <f>IFERROR(__xludf.DUMMYFUNCTION("""COMPUTED_VALUE"""),44972.0)</f>
        <v>44972</v>
      </c>
      <c r="K356" s="5" t="str">
        <f>IFERROR(__xludf.DUMMYFUNCTION("""COMPUTED_VALUE"""),"high-income")</f>
        <v>high-income</v>
      </c>
      <c r="L356" s="5" t="str">
        <f>IFERROR(__xludf.DUMMYFUNCTION("""COMPUTED_VALUE"""),"Marshall Islands")</f>
        <v>Marshall Islands</v>
      </c>
      <c r="M356" s="5" t="str">
        <f>IFERROR(__xludf.DUMMYFUNCTION("""COMPUTED_VALUE"""),"Europe &amp; Central Asia")</f>
        <v>Europe &amp; Central Asia</v>
      </c>
      <c r="N356" s="5" t="str">
        <f>IFERROR(__xludf.DUMMYFUNCTION("""COMPUTED_VALUE"""),"Western Europe and Others")</f>
        <v>Western Europe and Others</v>
      </c>
      <c r="O356" s="5" t="str">
        <f>IFERROR(__xludf.DUMMYFUNCTION("""COMPUTED_VALUE"""),"developed")</f>
        <v>developed</v>
      </c>
      <c r="P356" s="5"/>
      <c r="Q356" s="5"/>
    </row>
    <row r="357">
      <c r="A357" s="5" t="str">
        <f>IFERROR(__xludf.DUMMYFUNCTION("""COMPUTED_VALUE"""),"Outbound +")</f>
        <v>Outbound +</v>
      </c>
      <c r="B357" s="5">
        <f>IFERROR(__xludf.DUMMYFUNCTION("""COMPUTED_VALUE"""),699.0)</f>
        <v>699</v>
      </c>
      <c r="C357" s="5" t="str">
        <f>IFERROR(__xludf.DUMMYFUNCTION("""COMPUTED_VALUE"""),"CIHAN")</f>
        <v>CIHAN</v>
      </c>
      <c r="D357" s="5">
        <f>IFERROR(__xludf.DUMMYFUNCTION("""COMPUTED_VALUE"""),9622174.0)</f>
        <v>9622174</v>
      </c>
      <c r="E357" s="5" t="str">
        <f>IFERROR(__xludf.DUMMYFUNCTION("""COMPUTED_VALUE"""),"Yuzhny/Pivdennyi")</f>
        <v>Yuzhny/Pivdennyi</v>
      </c>
      <c r="F357" s="5" t="str">
        <f>IFERROR(__xludf.DUMMYFUNCTION("""COMPUTED_VALUE"""),"Spain")</f>
        <v>Spain</v>
      </c>
      <c r="G357" s="5" t="str">
        <f>IFERROR(__xludf.DUMMYFUNCTION("""COMPUTED_VALUE"""),"Corn")</f>
        <v>Corn</v>
      </c>
      <c r="H357" s="6">
        <f>IFERROR(__xludf.DUMMYFUNCTION("""COMPUTED_VALUE"""),22341.0)</f>
        <v>22341</v>
      </c>
      <c r="I357" s="7">
        <f>IFERROR(__xludf.DUMMYFUNCTION("""COMPUTED_VALUE"""),44960.0)</f>
        <v>44960</v>
      </c>
      <c r="J357" s="7">
        <f>IFERROR(__xludf.DUMMYFUNCTION("""COMPUTED_VALUE"""),44972.0)</f>
        <v>44972</v>
      </c>
      <c r="K357" s="5" t="str">
        <f>IFERROR(__xludf.DUMMYFUNCTION("""COMPUTED_VALUE"""),"high-income")</f>
        <v>high-income</v>
      </c>
      <c r="L357" s="5" t="str">
        <f>IFERROR(__xludf.DUMMYFUNCTION("""COMPUTED_VALUE"""),"Marshall Islands")</f>
        <v>Marshall Islands</v>
      </c>
      <c r="M357" s="5" t="str">
        <f>IFERROR(__xludf.DUMMYFUNCTION("""COMPUTED_VALUE"""),"Europe &amp; Central Asia")</f>
        <v>Europe &amp; Central Asia</v>
      </c>
      <c r="N357" s="5" t="str">
        <f>IFERROR(__xludf.DUMMYFUNCTION("""COMPUTED_VALUE"""),"Western Europe and Others")</f>
        <v>Western Europe and Others</v>
      </c>
      <c r="O357" s="5" t="str">
        <f>IFERROR(__xludf.DUMMYFUNCTION("""COMPUTED_VALUE"""),"developed")</f>
        <v>developed</v>
      </c>
      <c r="P357" s="5"/>
      <c r="Q357" s="5"/>
    </row>
    <row r="358">
      <c r="A358" s="5" t="str">
        <f>IFERROR(__xludf.DUMMYFUNCTION("""COMPUTED_VALUE"""),"Outbound")</f>
        <v>Outbound</v>
      </c>
      <c r="B358" s="5">
        <f>IFERROR(__xludf.DUMMYFUNCTION("""COMPUTED_VALUE"""),698.0)</f>
        <v>698</v>
      </c>
      <c r="C358" s="5" t="str">
        <f>IFERROR(__xludf.DUMMYFUNCTION("""COMPUTED_VALUE"""),"BLUE SHARK")</f>
        <v>BLUE SHARK</v>
      </c>
      <c r="D358" s="5">
        <f>IFERROR(__xludf.DUMMYFUNCTION("""COMPUTED_VALUE"""),9128142.0)</f>
        <v>9128142</v>
      </c>
      <c r="E358" s="5" t="str">
        <f>IFERROR(__xludf.DUMMYFUNCTION("""COMPUTED_VALUE"""),"Odesa")</f>
        <v>Odesa</v>
      </c>
      <c r="F358" s="5" t="str">
        <f>IFERROR(__xludf.DUMMYFUNCTION("""COMPUTED_VALUE"""),"Türkiye")</f>
        <v>Türkiye</v>
      </c>
      <c r="G358" s="5" t="str">
        <f>IFERROR(__xludf.DUMMYFUNCTION("""COMPUTED_VALUE"""),"Soya beans")</f>
        <v>Soya beans</v>
      </c>
      <c r="H358" s="6">
        <f>IFERROR(__xludf.DUMMYFUNCTION("""COMPUTED_VALUE"""),24750.0)</f>
        <v>24750</v>
      </c>
      <c r="I358" s="7">
        <f>IFERROR(__xludf.DUMMYFUNCTION("""COMPUTED_VALUE"""),44960.0)</f>
        <v>44960</v>
      </c>
      <c r="J358" s="7">
        <f>IFERROR(__xludf.DUMMYFUNCTION("""COMPUTED_VALUE"""),44967.0)</f>
        <v>44967</v>
      </c>
      <c r="K358" s="5" t="str">
        <f>IFERROR(__xludf.DUMMYFUNCTION("""COMPUTED_VALUE"""),"upper-middle-income")</f>
        <v>upper-middle-income</v>
      </c>
      <c r="L358" s="5" t="str">
        <f>IFERROR(__xludf.DUMMYFUNCTION("""COMPUTED_VALUE"""),"Belize")</f>
        <v>Belize</v>
      </c>
      <c r="M358" s="5" t="str">
        <f>IFERROR(__xludf.DUMMYFUNCTION("""COMPUTED_VALUE"""),"Europe &amp; Central Asia")</f>
        <v>Europe &amp; Central Asia</v>
      </c>
      <c r="N358" s="5" t="str">
        <f>IFERROR(__xludf.DUMMYFUNCTION("""COMPUTED_VALUE"""),"Asia-Pacific")</f>
        <v>Asia-Pacific</v>
      </c>
      <c r="O358" s="5" t="str">
        <f>IFERROR(__xludf.DUMMYFUNCTION("""COMPUTED_VALUE"""),"developing")</f>
        <v>developing</v>
      </c>
      <c r="P358" s="5"/>
      <c r="Q358" s="5"/>
    </row>
    <row r="359">
      <c r="A359" s="5" t="str">
        <f>IFERROR(__xludf.DUMMYFUNCTION("""COMPUTED_VALUE"""),"Outbound")</f>
        <v>Outbound</v>
      </c>
      <c r="B359" s="5">
        <f>IFERROR(__xludf.DUMMYFUNCTION("""COMPUTED_VALUE"""),697.0)</f>
        <v>697</v>
      </c>
      <c r="C359" s="5" t="str">
        <f>IFERROR(__xludf.DUMMYFUNCTION("""COMPUTED_VALUE"""),"AGERI")</f>
        <v>AGERI</v>
      </c>
      <c r="D359" s="5">
        <f>IFERROR(__xludf.DUMMYFUNCTION("""COMPUTED_VALUE"""),9588574.0)</f>
        <v>9588574</v>
      </c>
      <c r="E359" s="5" t="str">
        <f>IFERROR(__xludf.DUMMYFUNCTION("""COMPUTED_VALUE"""),"Odesa")</f>
        <v>Odesa</v>
      </c>
      <c r="F359" s="5" t="str">
        <f>IFERROR(__xludf.DUMMYFUNCTION("""COMPUTED_VALUE"""),"Bangladesh")</f>
        <v>Bangladesh</v>
      </c>
      <c r="G359" s="5" t="str">
        <f>IFERROR(__xludf.DUMMYFUNCTION("""COMPUTED_VALUE"""),"Wheat")</f>
        <v>Wheat</v>
      </c>
      <c r="H359" s="6">
        <f>IFERROR(__xludf.DUMMYFUNCTION("""COMPUTED_VALUE"""),53551.0)</f>
        <v>53551</v>
      </c>
      <c r="I359" s="7">
        <f>IFERROR(__xludf.DUMMYFUNCTION("""COMPUTED_VALUE"""),44960.0)</f>
        <v>44960</v>
      </c>
      <c r="J359" s="7">
        <f>IFERROR(__xludf.DUMMYFUNCTION("""COMPUTED_VALUE"""),44977.0)</f>
        <v>44977</v>
      </c>
      <c r="K359" s="5" t="str">
        <f>IFERROR(__xludf.DUMMYFUNCTION("""COMPUTED_VALUE"""),"lower-middle income")</f>
        <v>lower-middle income</v>
      </c>
      <c r="L359" s="5" t="str">
        <f>IFERROR(__xludf.DUMMYFUNCTION("""COMPUTED_VALUE"""),"Liberia")</f>
        <v>Liberia</v>
      </c>
      <c r="M359" s="5" t="str">
        <f>IFERROR(__xludf.DUMMYFUNCTION("""COMPUTED_VALUE"""),"South Asia")</f>
        <v>South Asia</v>
      </c>
      <c r="N359" s="5" t="str">
        <f>IFERROR(__xludf.DUMMYFUNCTION("""COMPUTED_VALUE"""),"Asia-Pacific")</f>
        <v>Asia-Pacific</v>
      </c>
      <c r="O359" s="5" t="str">
        <f>IFERROR(__xludf.DUMMYFUNCTION("""COMPUTED_VALUE"""),"developing")</f>
        <v>developing</v>
      </c>
      <c r="P359" s="5"/>
      <c r="Q359" s="5"/>
    </row>
    <row r="360">
      <c r="A360" s="5" t="str">
        <f>IFERROR(__xludf.DUMMYFUNCTION("""COMPUTED_VALUE"""),"Outbound")</f>
        <v>Outbound</v>
      </c>
      <c r="B360" s="5">
        <f>IFERROR(__xludf.DUMMYFUNCTION("""COMPUTED_VALUE"""),696.0)</f>
        <v>696</v>
      </c>
      <c r="C360" s="5" t="str">
        <f>IFERROR(__xludf.DUMMYFUNCTION("""COMPUTED_VALUE"""),"YASA H. MULLA")</f>
        <v>YASA H. MULLA</v>
      </c>
      <c r="D360" s="5">
        <f>IFERROR(__xludf.DUMMYFUNCTION("""COMPUTED_VALUE"""),9442512.0)</f>
        <v>9442512</v>
      </c>
      <c r="E360" s="5" t="str">
        <f>IFERROR(__xludf.DUMMYFUNCTION("""COMPUTED_VALUE"""),"Chornomorsk")</f>
        <v>Chornomorsk</v>
      </c>
      <c r="F360" s="5" t="str">
        <f>IFERROR(__xludf.DUMMYFUNCTION("""COMPUTED_VALUE"""),"The Netherlands")</f>
        <v>The Netherlands</v>
      </c>
      <c r="G360" s="5" t="str">
        <f>IFERROR(__xludf.DUMMYFUNCTION("""COMPUTED_VALUE"""),"Corn")</f>
        <v>Corn</v>
      </c>
      <c r="H360" s="6">
        <f>IFERROR(__xludf.DUMMYFUNCTION("""COMPUTED_VALUE"""),64236.0)</f>
        <v>64236</v>
      </c>
      <c r="I360" s="7">
        <f>IFERROR(__xludf.DUMMYFUNCTION("""COMPUTED_VALUE"""),44959.0)</f>
        <v>44959</v>
      </c>
      <c r="J360" s="7">
        <f>IFERROR(__xludf.DUMMYFUNCTION("""COMPUTED_VALUE"""),44968.0)</f>
        <v>44968</v>
      </c>
      <c r="K360" s="5" t="str">
        <f>IFERROR(__xludf.DUMMYFUNCTION("""COMPUTED_VALUE"""),"high-income")</f>
        <v>high-income</v>
      </c>
      <c r="L360" s="5" t="str">
        <f>IFERROR(__xludf.DUMMYFUNCTION("""COMPUTED_VALUE"""),"Türkiye")</f>
        <v>Türkiye</v>
      </c>
      <c r="M360" s="5" t="str">
        <f>IFERROR(__xludf.DUMMYFUNCTION("""COMPUTED_VALUE"""),"Europe &amp; Central Asia")</f>
        <v>Europe &amp; Central Asia</v>
      </c>
      <c r="N360" s="5" t="str">
        <f>IFERROR(__xludf.DUMMYFUNCTION("""COMPUTED_VALUE"""),"Western Europe and Others")</f>
        <v>Western Europe and Others</v>
      </c>
      <c r="O360" s="5" t="str">
        <f>IFERROR(__xludf.DUMMYFUNCTION("""COMPUTED_VALUE"""),"developed")</f>
        <v>developed</v>
      </c>
      <c r="P360" s="5"/>
      <c r="Q360" s="5"/>
    </row>
    <row r="361">
      <c r="A361" s="5" t="str">
        <f>IFERROR(__xludf.DUMMYFUNCTION("""COMPUTED_VALUE"""),"Outbound")</f>
        <v>Outbound</v>
      </c>
      <c r="B361" s="5">
        <f>IFERROR(__xludf.DUMMYFUNCTION("""COMPUTED_VALUE"""),695.0)</f>
        <v>695</v>
      </c>
      <c r="C361" s="5" t="str">
        <f>IFERROR(__xludf.DUMMYFUNCTION("""COMPUTED_VALUE"""),"CHARLES")</f>
        <v>CHARLES</v>
      </c>
      <c r="D361" s="5">
        <f>IFERROR(__xludf.DUMMYFUNCTION("""COMPUTED_VALUE"""),9595175.0)</f>
        <v>9595175</v>
      </c>
      <c r="E361" s="5" t="str">
        <f>IFERROR(__xludf.DUMMYFUNCTION("""COMPUTED_VALUE"""),"Chornomorsk")</f>
        <v>Chornomorsk</v>
      </c>
      <c r="F361" s="5" t="str">
        <f>IFERROR(__xludf.DUMMYFUNCTION("""COMPUTED_VALUE"""),"The Netherlands")</f>
        <v>The Netherlands</v>
      </c>
      <c r="G361" s="5" t="str">
        <f>IFERROR(__xludf.DUMMYFUNCTION("""COMPUTED_VALUE"""),"Corn")</f>
        <v>Corn</v>
      </c>
      <c r="H361" s="6">
        <f>IFERROR(__xludf.DUMMYFUNCTION("""COMPUTED_VALUE"""),34316.0)</f>
        <v>34316</v>
      </c>
      <c r="I361" s="7">
        <f>IFERROR(__xludf.DUMMYFUNCTION("""COMPUTED_VALUE"""),44959.0)</f>
        <v>44959</v>
      </c>
      <c r="J361" s="7">
        <f>IFERROR(__xludf.DUMMYFUNCTION("""COMPUTED_VALUE"""),44966.0)</f>
        <v>44966</v>
      </c>
      <c r="K361" s="5" t="str">
        <f>IFERROR(__xludf.DUMMYFUNCTION("""COMPUTED_VALUE"""),"high-income")</f>
        <v>high-income</v>
      </c>
      <c r="L361" s="5" t="str">
        <f>IFERROR(__xludf.DUMMYFUNCTION("""COMPUTED_VALUE"""),"Liberia")</f>
        <v>Liberia</v>
      </c>
      <c r="M361" s="5" t="str">
        <f>IFERROR(__xludf.DUMMYFUNCTION("""COMPUTED_VALUE"""),"Europe &amp; Central Asia")</f>
        <v>Europe &amp; Central Asia</v>
      </c>
      <c r="N361" s="5" t="str">
        <f>IFERROR(__xludf.DUMMYFUNCTION("""COMPUTED_VALUE"""),"Western Europe and Others")</f>
        <v>Western Europe and Others</v>
      </c>
      <c r="O361" s="5" t="str">
        <f>IFERROR(__xludf.DUMMYFUNCTION("""COMPUTED_VALUE"""),"developed")</f>
        <v>developed</v>
      </c>
      <c r="P361" s="5"/>
      <c r="Q361" s="5"/>
    </row>
    <row r="362">
      <c r="A362" s="5" t="str">
        <f>IFERROR(__xludf.DUMMYFUNCTION("""COMPUTED_VALUE"""),"Outbound")</f>
        <v>Outbound</v>
      </c>
      <c r="B362" s="5">
        <f>IFERROR(__xludf.DUMMYFUNCTION("""COMPUTED_VALUE"""),694.0)</f>
        <v>694</v>
      </c>
      <c r="C362" s="5" t="str">
        <f>IFERROR(__xludf.DUMMYFUNCTION("""COMPUTED_VALUE"""),"THE RULER")</f>
        <v>THE RULER</v>
      </c>
      <c r="D362" s="5">
        <f>IFERROR(__xludf.DUMMYFUNCTION("""COMPUTED_VALUE"""),9336608.0)</f>
        <v>9336608</v>
      </c>
      <c r="E362" s="5" t="str">
        <f>IFERROR(__xludf.DUMMYFUNCTION("""COMPUTED_VALUE"""),"Chornomorsk")</f>
        <v>Chornomorsk</v>
      </c>
      <c r="F362" s="5" t="str">
        <f>IFERROR(__xludf.DUMMYFUNCTION("""COMPUTED_VALUE"""),"China")</f>
        <v>China</v>
      </c>
      <c r="G362" s="5" t="str">
        <f>IFERROR(__xludf.DUMMYFUNCTION("""COMPUTED_VALUE"""),"Corn")</f>
        <v>Corn</v>
      </c>
      <c r="H362" s="6">
        <f>IFERROR(__xludf.DUMMYFUNCTION("""COMPUTED_VALUE"""),65114.0)</f>
        <v>65114</v>
      </c>
      <c r="I362" s="7">
        <f>IFERROR(__xludf.DUMMYFUNCTION("""COMPUTED_VALUE"""),44958.0)</f>
        <v>44958</v>
      </c>
      <c r="J362" s="7">
        <f>IFERROR(__xludf.DUMMYFUNCTION("""COMPUTED_VALUE"""),44978.0)</f>
        <v>44978</v>
      </c>
      <c r="K362" s="5" t="str">
        <f>IFERROR(__xludf.DUMMYFUNCTION("""COMPUTED_VALUE"""),"upper-middle-income")</f>
        <v>upper-middle-income</v>
      </c>
      <c r="L362" s="5" t="str">
        <f>IFERROR(__xludf.DUMMYFUNCTION("""COMPUTED_VALUE"""),"Panama")</f>
        <v>Panama</v>
      </c>
      <c r="M362" s="5" t="str">
        <f>IFERROR(__xludf.DUMMYFUNCTION("""COMPUTED_VALUE"""),"East Asia &amp; Pacific")</f>
        <v>East Asia &amp; Pacific</v>
      </c>
      <c r="N362" s="5" t="str">
        <f>IFERROR(__xludf.DUMMYFUNCTION("""COMPUTED_VALUE"""),"Asia-Pacific")</f>
        <v>Asia-Pacific</v>
      </c>
      <c r="O362" s="5" t="str">
        <f>IFERROR(__xludf.DUMMYFUNCTION("""COMPUTED_VALUE"""),"developing")</f>
        <v>developing</v>
      </c>
      <c r="P362" s="5"/>
      <c r="Q362" s="5"/>
    </row>
    <row r="363">
      <c r="A363" s="5" t="str">
        <f>IFERROR(__xludf.DUMMYFUNCTION("""COMPUTED_VALUE"""),"Outbound")</f>
        <v>Outbound</v>
      </c>
      <c r="B363" s="5">
        <f>IFERROR(__xludf.DUMMYFUNCTION("""COMPUTED_VALUE"""),693.0)</f>
        <v>693</v>
      </c>
      <c r="C363" s="5" t="str">
        <f>IFERROR(__xludf.DUMMYFUNCTION("""COMPUTED_VALUE"""),"MANNA")</f>
        <v>MANNA</v>
      </c>
      <c r="D363" s="5">
        <f>IFERROR(__xludf.DUMMYFUNCTION("""COMPUTED_VALUE"""),9304100.0)</f>
        <v>9304100</v>
      </c>
      <c r="E363" s="5" t="str">
        <f>IFERROR(__xludf.DUMMYFUNCTION("""COMPUTED_VALUE"""),"Yuzhny/Pivdennyi")</f>
        <v>Yuzhny/Pivdennyi</v>
      </c>
      <c r="F363" s="5" t="str">
        <f>IFERROR(__xludf.DUMMYFUNCTION("""COMPUTED_VALUE"""),"Portugal")</f>
        <v>Portugal</v>
      </c>
      <c r="G363" s="5" t="str">
        <f>IFERROR(__xludf.DUMMYFUNCTION("""COMPUTED_VALUE"""),"Corn")</f>
        <v>Corn</v>
      </c>
      <c r="H363" s="6">
        <f>IFERROR(__xludf.DUMMYFUNCTION("""COMPUTED_VALUE"""),51405.0)</f>
        <v>51405</v>
      </c>
      <c r="I363" s="7">
        <f>IFERROR(__xludf.DUMMYFUNCTION("""COMPUTED_VALUE"""),44958.0)</f>
        <v>44958</v>
      </c>
      <c r="J363" s="7">
        <f>IFERROR(__xludf.DUMMYFUNCTION("""COMPUTED_VALUE"""),44967.0)</f>
        <v>44967</v>
      </c>
      <c r="K363" s="5" t="str">
        <f>IFERROR(__xludf.DUMMYFUNCTION("""COMPUTED_VALUE"""),"high-income")</f>
        <v>high-income</v>
      </c>
      <c r="L363" s="5" t="str">
        <f>IFERROR(__xludf.DUMMYFUNCTION("""COMPUTED_VALUE"""),"Malta")</f>
        <v>Malta</v>
      </c>
      <c r="M363" s="5" t="str">
        <f>IFERROR(__xludf.DUMMYFUNCTION("""COMPUTED_VALUE"""),"Europe &amp; Central Asia")</f>
        <v>Europe &amp; Central Asia</v>
      </c>
      <c r="N363" s="5" t="str">
        <f>IFERROR(__xludf.DUMMYFUNCTION("""COMPUTED_VALUE"""),"Western Europe and Others")</f>
        <v>Western Europe and Others</v>
      </c>
      <c r="O363" s="5" t="str">
        <f>IFERROR(__xludf.DUMMYFUNCTION("""COMPUTED_VALUE"""),"developed")</f>
        <v>developed</v>
      </c>
      <c r="P363" s="5"/>
      <c r="Q363" s="5"/>
    </row>
    <row r="364">
      <c r="A364" s="5" t="str">
        <f>IFERROR(__xludf.DUMMYFUNCTION("""COMPUTED_VALUE"""),"Outbound")</f>
        <v>Outbound</v>
      </c>
      <c r="B364" s="5">
        <f>IFERROR(__xludf.DUMMYFUNCTION("""COMPUTED_VALUE"""),692.0)</f>
        <v>692</v>
      </c>
      <c r="C364" s="5" t="str">
        <f>IFERROR(__xludf.DUMMYFUNCTION("""COMPUTED_VALUE"""),"LOLO GATE")</f>
        <v>LOLO GATE</v>
      </c>
      <c r="D364" s="5">
        <f>IFERROR(__xludf.DUMMYFUNCTION("""COMPUTED_VALUE"""),9128104.0)</f>
        <v>9128104</v>
      </c>
      <c r="E364" s="5" t="str">
        <f>IFERROR(__xludf.DUMMYFUNCTION("""COMPUTED_VALUE"""),"Chornomorsk")</f>
        <v>Chornomorsk</v>
      </c>
      <c r="F364" s="5" t="str">
        <f>IFERROR(__xludf.DUMMYFUNCTION("""COMPUTED_VALUE"""),"Egypt")</f>
        <v>Egypt</v>
      </c>
      <c r="G364" s="5" t="str">
        <f>IFERROR(__xludf.DUMMYFUNCTION("""COMPUTED_VALUE"""),"Wheat")</f>
        <v>Wheat</v>
      </c>
      <c r="H364" s="6">
        <f>IFERROR(__xludf.DUMMYFUNCTION("""COMPUTED_VALUE"""),16500.0)</f>
        <v>16500</v>
      </c>
      <c r="I364" s="7">
        <f>IFERROR(__xludf.DUMMYFUNCTION("""COMPUTED_VALUE"""),44958.0)</f>
        <v>44958</v>
      </c>
      <c r="J364" s="7">
        <f>IFERROR(__xludf.DUMMYFUNCTION("""COMPUTED_VALUE"""),44971.0)</f>
        <v>44971</v>
      </c>
      <c r="K364" s="5" t="str">
        <f>IFERROR(__xludf.DUMMYFUNCTION("""COMPUTED_VALUE"""),"lower-middle income")</f>
        <v>lower-middle income</v>
      </c>
      <c r="L364" s="5" t="str">
        <f>IFERROR(__xludf.DUMMYFUNCTION("""COMPUTED_VALUE"""),"Niue")</f>
        <v>Niue</v>
      </c>
      <c r="M364" s="5" t="str">
        <f>IFERROR(__xludf.DUMMYFUNCTION("""COMPUTED_VALUE"""),"Middle East &amp; North Africa")</f>
        <v>Middle East &amp; North Africa</v>
      </c>
      <c r="N364" s="5" t="str">
        <f>IFERROR(__xludf.DUMMYFUNCTION("""COMPUTED_VALUE"""),"Africa")</f>
        <v>Africa</v>
      </c>
      <c r="O364" s="5" t="str">
        <f>IFERROR(__xludf.DUMMYFUNCTION("""COMPUTED_VALUE"""),"developing")</f>
        <v>developing</v>
      </c>
      <c r="P364" s="5"/>
      <c r="Q364" s="5"/>
    </row>
    <row r="365">
      <c r="A365" s="5" t="str">
        <f>IFERROR(__xludf.DUMMYFUNCTION("""COMPUTED_VALUE"""),"Outbound +")</f>
        <v>Outbound +</v>
      </c>
      <c r="B365" s="5">
        <f>IFERROR(__xludf.DUMMYFUNCTION("""COMPUTED_VALUE"""),692.0)</f>
        <v>692</v>
      </c>
      <c r="C365" s="5" t="str">
        <f>IFERROR(__xludf.DUMMYFUNCTION("""COMPUTED_VALUE"""),"LOLO GATE")</f>
        <v>LOLO GATE</v>
      </c>
      <c r="D365" s="5">
        <f>IFERROR(__xludf.DUMMYFUNCTION("""COMPUTED_VALUE"""),9128104.0)</f>
        <v>9128104</v>
      </c>
      <c r="E365" s="5" t="str">
        <f>IFERROR(__xludf.DUMMYFUNCTION("""COMPUTED_VALUE"""),"Chornomorsk")</f>
        <v>Chornomorsk</v>
      </c>
      <c r="F365" s="5" t="str">
        <f>IFERROR(__xludf.DUMMYFUNCTION("""COMPUTED_VALUE"""),"Egypt")</f>
        <v>Egypt</v>
      </c>
      <c r="G365" s="5" t="str">
        <f>IFERROR(__xludf.DUMMYFUNCTION("""COMPUTED_VALUE"""),"Soya beans")</f>
        <v>Soya beans</v>
      </c>
      <c r="H365" s="6">
        <f>IFERROR(__xludf.DUMMYFUNCTION("""COMPUTED_VALUE"""),9700.0)</f>
        <v>9700</v>
      </c>
      <c r="I365" s="7">
        <f>IFERROR(__xludf.DUMMYFUNCTION("""COMPUTED_VALUE"""),44958.0)</f>
        <v>44958</v>
      </c>
      <c r="J365" s="7">
        <f>IFERROR(__xludf.DUMMYFUNCTION("""COMPUTED_VALUE"""),44971.0)</f>
        <v>44971</v>
      </c>
      <c r="K365" s="5" t="str">
        <f>IFERROR(__xludf.DUMMYFUNCTION("""COMPUTED_VALUE"""),"lower-middle income")</f>
        <v>lower-middle income</v>
      </c>
      <c r="L365" s="5" t="str">
        <f>IFERROR(__xludf.DUMMYFUNCTION("""COMPUTED_VALUE"""),"Niue")</f>
        <v>Niue</v>
      </c>
      <c r="M365" s="5" t="str">
        <f>IFERROR(__xludf.DUMMYFUNCTION("""COMPUTED_VALUE"""),"Middle East &amp; North Africa")</f>
        <v>Middle East &amp; North Africa</v>
      </c>
      <c r="N365" s="5" t="str">
        <f>IFERROR(__xludf.DUMMYFUNCTION("""COMPUTED_VALUE"""),"Africa")</f>
        <v>Africa</v>
      </c>
      <c r="O365" s="5" t="str">
        <f>IFERROR(__xludf.DUMMYFUNCTION("""COMPUTED_VALUE"""),"developing")</f>
        <v>developing</v>
      </c>
      <c r="P365" s="5"/>
      <c r="Q365" s="5"/>
    </row>
    <row r="366">
      <c r="A366" s="5" t="str">
        <f>IFERROR(__xludf.DUMMYFUNCTION("""COMPUTED_VALUE"""),"Outbound")</f>
        <v>Outbound</v>
      </c>
      <c r="B366" s="5">
        <f>IFERROR(__xludf.DUMMYFUNCTION("""COMPUTED_VALUE"""),691.0)</f>
        <v>691</v>
      </c>
      <c r="C366" s="5" t="str">
        <f>IFERROR(__xludf.DUMMYFUNCTION("""COMPUTED_VALUE"""),"BARRA")</f>
        <v>BARRA</v>
      </c>
      <c r="D366" s="5">
        <f>IFERROR(__xludf.DUMMYFUNCTION("""COMPUTED_VALUE"""),9142992.0)</f>
        <v>9142992</v>
      </c>
      <c r="E366" s="5" t="str">
        <f>IFERROR(__xludf.DUMMYFUNCTION("""COMPUTED_VALUE"""),"Yuzhny/Pivdennyi")</f>
        <v>Yuzhny/Pivdennyi</v>
      </c>
      <c r="F366" s="5" t="str">
        <f>IFERROR(__xludf.DUMMYFUNCTION("""COMPUTED_VALUE"""),"Türkiye")</f>
        <v>Türkiye</v>
      </c>
      <c r="G366" s="5" t="str">
        <f>IFERROR(__xludf.DUMMYFUNCTION("""COMPUTED_VALUE"""),"Wheat")</f>
        <v>Wheat</v>
      </c>
      <c r="H366" s="6">
        <f>IFERROR(__xludf.DUMMYFUNCTION("""COMPUTED_VALUE"""),41000.0)</f>
        <v>41000</v>
      </c>
      <c r="I366" s="7">
        <f>IFERROR(__xludf.DUMMYFUNCTION("""COMPUTED_VALUE"""),44958.0)</f>
        <v>44958</v>
      </c>
      <c r="J366" s="7">
        <f>IFERROR(__xludf.DUMMYFUNCTION("""COMPUTED_VALUE"""),44965.0)</f>
        <v>44965</v>
      </c>
      <c r="K366" s="5" t="str">
        <f>IFERROR(__xludf.DUMMYFUNCTION("""COMPUTED_VALUE"""),"upper-middle-income")</f>
        <v>upper-middle-income</v>
      </c>
      <c r="L366" s="5" t="str">
        <f>IFERROR(__xludf.DUMMYFUNCTION("""COMPUTED_VALUE"""),"Comoros")</f>
        <v>Comoros</v>
      </c>
      <c r="M366" s="5" t="str">
        <f>IFERROR(__xludf.DUMMYFUNCTION("""COMPUTED_VALUE"""),"Europe &amp; Central Asia")</f>
        <v>Europe &amp; Central Asia</v>
      </c>
      <c r="N366" s="5" t="str">
        <f>IFERROR(__xludf.DUMMYFUNCTION("""COMPUTED_VALUE"""),"Asia-Pacific")</f>
        <v>Asia-Pacific</v>
      </c>
      <c r="O366" s="5" t="str">
        <f>IFERROR(__xludf.DUMMYFUNCTION("""COMPUTED_VALUE"""),"developing")</f>
        <v>developing</v>
      </c>
      <c r="P366" s="5"/>
      <c r="Q366" s="5"/>
    </row>
    <row r="367">
      <c r="A367" s="5" t="str">
        <f>IFERROR(__xludf.DUMMYFUNCTION("""COMPUTED_VALUE"""),"Outbound")</f>
        <v>Outbound</v>
      </c>
      <c r="B367" s="5">
        <f>IFERROR(__xludf.DUMMYFUNCTION("""COMPUTED_VALUE"""),690.0)</f>
        <v>690</v>
      </c>
      <c r="C367" s="5" t="str">
        <f>IFERROR(__xludf.DUMMYFUNCTION("""COMPUTED_VALUE"""),"WEI HE")</f>
        <v>WEI HE</v>
      </c>
      <c r="D367" s="5">
        <f>IFERROR(__xludf.DUMMYFUNCTION("""COMPUTED_VALUE"""),9601091.0)</f>
        <v>9601091</v>
      </c>
      <c r="E367" s="5" t="str">
        <f>IFERROR(__xludf.DUMMYFUNCTION("""COMPUTED_VALUE"""),"Odesa")</f>
        <v>Odesa</v>
      </c>
      <c r="F367" s="5" t="str">
        <f>IFERROR(__xludf.DUMMYFUNCTION("""COMPUTED_VALUE"""),"China")</f>
        <v>China</v>
      </c>
      <c r="G367" s="5" t="str">
        <f>IFERROR(__xludf.DUMMYFUNCTION("""COMPUTED_VALUE"""),"Corn")</f>
        <v>Corn</v>
      </c>
      <c r="H367" s="6">
        <f>IFERROR(__xludf.DUMMYFUNCTION("""COMPUTED_VALUE"""),63500.0)</f>
        <v>63500</v>
      </c>
      <c r="I367" s="7">
        <f>IFERROR(__xludf.DUMMYFUNCTION("""COMPUTED_VALUE"""),44957.0)</f>
        <v>44957</v>
      </c>
      <c r="J367" s="7">
        <f>IFERROR(__xludf.DUMMYFUNCTION("""COMPUTED_VALUE"""),44965.0)</f>
        <v>44965</v>
      </c>
      <c r="K367" s="5" t="str">
        <f>IFERROR(__xludf.DUMMYFUNCTION("""COMPUTED_VALUE"""),"upper-middle-income")</f>
        <v>upper-middle-income</v>
      </c>
      <c r="L367" s="5" t="str">
        <f>IFERROR(__xludf.DUMMYFUNCTION("""COMPUTED_VALUE"""),"Hong Kong")</f>
        <v>Hong Kong</v>
      </c>
      <c r="M367" s="5" t="str">
        <f>IFERROR(__xludf.DUMMYFUNCTION("""COMPUTED_VALUE"""),"East Asia &amp; Pacific")</f>
        <v>East Asia &amp; Pacific</v>
      </c>
      <c r="N367" s="5" t="str">
        <f>IFERROR(__xludf.DUMMYFUNCTION("""COMPUTED_VALUE"""),"Asia-Pacific")</f>
        <v>Asia-Pacific</v>
      </c>
      <c r="O367" s="5" t="str">
        <f>IFERROR(__xludf.DUMMYFUNCTION("""COMPUTED_VALUE"""),"developing")</f>
        <v>developing</v>
      </c>
      <c r="P367" s="5"/>
      <c r="Q367" s="5"/>
    </row>
    <row r="368">
      <c r="A368" s="5" t="str">
        <f>IFERROR(__xludf.DUMMYFUNCTION("""COMPUTED_VALUE"""),"Outbound")</f>
        <v>Outbound</v>
      </c>
      <c r="B368" s="5">
        <f>IFERROR(__xludf.DUMMYFUNCTION("""COMPUTED_VALUE"""),689.0)</f>
        <v>689</v>
      </c>
      <c r="C368" s="5" t="str">
        <f>IFERROR(__xludf.DUMMYFUNCTION("""COMPUTED_VALUE"""),"GLOBE DANAE")</f>
        <v>GLOBE DANAE</v>
      </c>
      <c r="D368" s="5">
        <f>IFERROR(__xludf.DUMMYFUNCTION("""COMPUTED_VALUE"""),9483499.0)</f>
        <v>9483499</v>
      </c>
      <c r="E368" s="5" t="str">
        <f>IFERROR(__xludf.DUMMYFUNCTION("""COMPUTED_VALUE"""),"Yuzhny/Pivdennyi")</f>
        <v>Yuzhny/Pivdennyi</v>
      </c>
      <c r="F368" s="5" t="str">
        <f>IFERROR(__xludf.DUMMYFUNCTION("""COMPUTED_VALUE"""),"China")</f>
        <v>China</v>
      </c>
      <c r="G368" s="5" t="str">
        <f>IFERROR(__xludf.DUMMYFUNCTION("""COMPUTED_VALUE"""),"Corn")</f>
        <v>Corn</v>
      </c>
      <c r="H368" s="6">
        <f>IFERROR(__xludf.DUMMYFUNCTION("""COMPUTED_VALUE"""),70000.0)</f>
        <v>70000</v>
      </c>
      <c r="I368" s="7">
        <f>IFERROR(__xludf.DUMMYFUNCTION("""COMPUTED_VALUE"""),44957.0)</f>
        <v>44957</v>
      </c>
      <c r="J368" s="7">
        <f>IFERROR(__xludf.DUMMYFUNCTION("""COMPUTED_VALUE"""),44965.0)</f>
        <v>44965</v>
      </c>
      <c r="K368" s="5" t="str">
        <f>IFERROR(__xludf.DUMMYFUNCTION("""COMPUTED_VALUE"""),"upper-middle-income")</f>
        <v>upper-middle-income</v>
      </c>
      <c r="L368" s="5" t="str">
        <f>IFERROR(__xludf.DUMMYFUNCTION("""COMPUTED_VALUE"""),"Marshall Islands")</f>
        <v>Marshall Islands</v>
      </c>
      <c r="M368" s="5" t="str">
        <f>IFERROR(__xludf.DUMMYFUNCTION("""COMPUTED_VALUE"""),"East Asia &amp; Pacific")</f>
        <v>East Asia &amp; Pacific</v>
      </c>
      <c r="N368" s="5" t="str">
        <f>IFERROR(__xludf.DUMMYFUNCTION("""COMPUTED_VALUE"""),"Asia-Pacific")</f>
        <v>Asia-Pacific</v>
      </c>
      <c r="O368" s="5" t="str">
        <f>IFERROR(__xludf.DUMMYFUNCTION("""COMPUTED_VALUE"""),"developing")</f>
        <v>developing</v>
      </c>
      <c r="P368" s="5"/>
      <c r="Q368" s="5"/>
    </row>
    <row r="369">
      <c r="A369" s="5" t="str">
        <f>IFERROR(__xludf.DUMMYFUNCTION("""COMPUTED_VALUE"""),"Outbound")</f>
        <v>Outbound</v>
      </c>
      <c r="B369" s="5">
        <f>IFERROR(__xludf.DUMMYFUNCTION("""COMPUTED_VALUE"""),688.0)</f>
        <v>688</v>
      </c>
      <c r="C369" s="5" t="str">
        <f>IFERROR(__xludf.DUMMYFUNCTION("""COMPUTED_VALUE"""),"DONNA JUDI")</f>
        <v>DONNA JUDI</v>
      </c>
      <c r="D369" s="5">
        <f>IFERROR(__xludf.DUMMYFUNCTION("""COMPUTED_VALUE"""),9519171.0)</f>
        <v>9519171</v>
      </c>
      <c r="E369" s="5" t="str">
        <f>IFERROR(__xludf.DUMMYFUNCTION("""COMPUTED_VALUE"""),"Odesa")</f>
        <v>Odesa</v>
      </c>
      <c r="F369" s="5" t="str">
        <f>IFERROR(__xludf.DUMMYFUNCTION("""COMPUTED_VALUE"""),"Spain")</f>
        <v>Spain</v>
      </c>
      <c r="G369" s="5" t="str">
        <f>IFERROR(__xludf.DUMMYFUNCTION("""COMPUTED_VALUE"""),"Wheat")</f>
        <v>Wheat</v>
      </c>
      <c r="H369" s="6">
        <f>IFERROR(__xludf.DUMMYFUNCTION("""COMPUTED_VALUE"""),33000.0)</f>
        <v>33000</v>
      </c>
      <c r="I369" s="7">
        <f>IFERROR(__xludf.DUMMYFUNCTION("""COMPUTED_VALUE"""),44957.0)</f>
        <v>44957</v>
      </c>
      <c r="J369" s="7">
        <f>IFERROR(__xludf.DUMMYFUNCTION("""COMPUTED_VALUE"""),44966.0)</f>
        <v>44966</v>
      </c>
      <c r="K369" s="5" t="str">
        <f>IFERROR(__xludf.DUMMYFUNCTION("""COMPUTED_VALUE"""),"high-income")</f>
        <v>high-income</v>
      </c>
      <c r="L369" s="5" t="str">
        <f>IFERROR(__xludf.DUMMYFUNCTION("""COMPUTED_VALUE"""),"St. Vincent")</f>
        <v>St. Vincent</v>
      </c>
      <c r="M369" s="5" t="str">
        <f>IFERROR(__xludf.DUMMYFUNCTION("""COMPUTED_VALUE"""),"Europe &amp; Central Asia")</f>
        <v>Europe &amp; Central Asia</v>
      </c>
      <c r="N369" s="5" t="str">
        <f>IFERROR(__xludf.DUMMYFUNCTION("""COMPUTED_VALUE"""),"Western Europe and Others")</f>
        <v>Western Europe and Others</v>
      </c>
      <c r="O369" s="5" t="str">
        <f>IFERROR(__xludf.DUMMYFUNCTION("""COMPUTED_VALUE"""),"developed")</f>
        <v>developed</v>
      </c>
      <c r="P369" s="5"/>
      <c r="Q369" s="5"/>
    </row>
    <row r="370">
      <c r="A370" s="5" t="str">
        <f>IFERROR(__xludf.DUMMYFUNCTION("""COMPUTED_VALUE"""),"Outbound")</f>
        <v>Outbound</v>
      </c>
      <c r="B370" s="5">
        <f>IFERROR(__xludf.DUMMYFUNCTION("""COMPUTED_VALUE"""),687.0)</f>
        <v>687</v>
      </c>
      <c r="C370" s="5" t="str">
        <f>IFERROR(__xludf.DUMMYFUNCTION("""COMPUTED_VALUE"""),"MOHAMAD Y")</f>
        <v>MOHAMAD Y</v>
      </c>
      <c r="D370" s="5">
        <f>IFERROR(__xludf.DUMMYFUNCTION("""COMPUTED_VALUE"""),8107000.0)</f>
        <v>8107000</v>
      </c>
      <c r="E370" s="5" t="str">
        <f>IFERROR(__xludf.DUMMYFUNCTION("""COMPUTED_VALUE"""),"Chornomorsk")</f>
        <v>Chornomorsk</v>
      </c>
      <c r="F370" s="5" t="str">
        <f>IFERROR(__xludf.DUMMYFUNCTION("""COMPUTED_VALUE"""),"Türkiye")</f>
        <v>Türkiye</v>
      </c>
      <c r="G370" s="5" t="str">
        <f>IFERROR(__xludf.DUMMYFUNCTION("""COMPUTED_VALUE"""),"Soya beans")</f>
        <v>Soya beans</v>
      </c>
      <c r="H370" s="6">
        <f>IFERROR(__xludf.DUMMYFUNCTION("""COMPUTED_VALUE"""),10210.0)</f>
        <v>10210</v>
      </c>
      <c r="I370" s="7">
        <f>IFERROR(__xludf.DUMMYFUNCTION("""COMPUTED_VALUE"""),44954.0)</f>
        <v>44954</v>
      </c>
      <c r="J370" s="7">
        <f>IFERROR(__xludf.DUMMYFUNCTION("""COMPUTED_VALUE"""),44961.0)</f>
        <v>44961</v>
      </c>
      <c r="K370" s="5" t="str">
        <f>IFERROR(__xludf.DUMMYFUNCTION("""COMPUTED_VALUE"""),"upper-middle-income")</f>
        <v>upper-middle-income</v>
      </c>
      <c r="L370" s="5" t="str">
        <f>IFERROR(__xludf.DUMMYFUNCTION("""COMPUTED_VALUE"""),"St. Kitts and Nevis")</f>
        <v>St. Kitts and Nevis</v>
      </c>
      <c r="M370" s="5" t="str">
        <f>IFERROR(__xludf.DUMMYFUNCTION("""COMPUTED_VALUE"""),"Europe &amp; Central Asia")</f>
        <v>Europe &amp; Central Asia</v>
      </c>
      <c r="N370" s="5" t="str">
        <f>IFERROR(__xludf.DUMMYFUNCTION("""COMPUTED_VALUE"""),"Asia-Pacific")</f>
        <v>Asia-Pacific</v>
      </c>
      <c r="O370" s="5" t="str">
        <f>IFERROR(__xludf.DUMMYFUNCTION("""COMPUTED_VALUE"""),"developing")</f>
        <v>developing</v>
      </c>
      <c r="P370" s="5"/>
      <c r="Q370" s="5"/>
    </row>
    <row r="371">
      <c r="A371" s="5" t="str">
        <f>IFERROR(__xludf.DUMMYFUNCTION("""COMPUTED_VALUE"""),"Outbound")</f>
        <v>Outbound</v>
      </c>
      <c r="B371" s="5">
        <f>IFERROR(__xludf.DUMMYFUNCTION("""COMPUTED_VALUE"""),686.0)</f>
        <v>686</v>
      </c>
      <c r="C371" s="5" t="str">
        <f>IFERROR(__xludf.DUMMYFUNCTION("""COMPUTED_VALUE"""),"LUCA")</f>
        <v>LUCA</v>
      </c>
      <c r="D371" s="5">
        <f>IFERROR(__xludf.DUMMYFUNCTION("""COMPUTED_VALUE"""),9894806.0)</f>
        <v>9894806</v>
      </c>
      <c r="E371" s="5" t="str">
        <f>IFERROR(__xludf.DUMMYFUNCTION("""COMPUTED_VALUE"""),"Odesa")</f>
        <v>Odesa</v>
      </c>
      <c r="F371" s="5" t="str">
        <f>IFERROR(__xludf.DUMMYFUNCTION("""COMPUTED_VALUE"""),"Bangladesh")</f>
        <v>Bangladesh</v>
      </c>
      <c r="G371" s="5" t="str">
        <f>IFERROR(__xludf.DUMMYFUNCTION("""COMPUTED_VALUE"""),"Wheat")</f>
        <v>Wheat</v>
      </c>
      <c r="H371" s="6">
        <f>IFERROR(__xludf.DUMMYFUNCTION("""COMPUTED_VALUE"""),56500.0)</f>
        <v>56500</v>
      </c>
      <c r="I371" s="7">
        <f>IFERROR(__xludf.DUMMYFUNCTION("""COMPUTED_VALUE"""),44954.0)</f>
        <v>44954</v>
      </c>
      <c r="J371" s="7">
        <f>IFERROR(__xludf.DUMMYFUNCTION("""COMPUTED_VALUE"""),44964.0)</f>
        <v>44964</v>
      </c>
      <c r="K371" s="5" t="str">
        <f>IFERROR(__xludf.DUMMYFUNCTION("""COMPUTED_VALUE"""),"lower-middle income")</f>
        <v>lower-middle income</v>
      </c>
      <c r="L371" s="5" t="str">
        <f>IFERROR(__xludf.DUMMYFUNCTION("""COMPUTED_VALUE"""),"Marshall Islands")</f>
        <v>Marshall Islands</v>
      </c>
      <c r="M371" s="5" t="str">
        <f>IFERROR(__xludf.DUMMYFUNCTION("""COMPUTED_VALUE"""),"South Asia")</f>
        <v>South Asia</v>
      </c>
      <c r="N371" s="5" t="str">
        <f>IFERROR(__xludf.DUMMYFUNCTION("""COMPUTED_VALUE"""),"Asia-Pacific")</f>
        <v>Asia-Pacific</v>
      </c>
      <c r="O371" s="5" t="str">
        <f>IFERROR(__xludf.DUMMYFUNCTION("""COMPUTED_VALUE"""),"developing")</f>
        <v>developing</v>
      </c>
      <c r="P371" s="5"/>
      <c r="Q371" s="5"/>
    </row>
    <row r="372">
      <c r="A372" s="5" t="str">
        <f>IFERROR(__xludf.DUMMYFUNCTION("""COMPUTED_VALUE"""),"Outbound")</f>
        <v>Outbound</v>
      </c>
      <c r="B372" s="5">
        <f>IFERROR(__xludf.DUMMYFUNCTION("""COMPUTED_VALUE"""),685.0)</f>
        <v>685</v>
      </c>
      <c r="C372" s="5" t="str">
        <f>IFERROR(__xludf.DUMMYFUNCTION("""COMPUTED_VALUE"""),"KLC ERCIYES")</f>
        <v>KLC ERCIYES</v>
      </c>
      <c r="D372" s="5">
        <f>IFERROR(__xludf.DUMMYFUNCTION("""COMPUTED_VALUE"""),9132480.0)</f>
        <v>9132480</v>
      </c>
      <c r="E372" s="5" t="str">
        <f>IFERROR(__xludf.DUMMYFUNCTION("""COMPUTED_VALUE"""),"Odesa")</f>
        <v>Odesa</v>
      </c>
      <c r="F372" s="5" t="str">
        <f>IFERROR(__xludf.DUMMYFUNCTION("""COMPUTED_VALUE"""),"Türkiye")</f>
        <v>Türkiye</v>
      </c>
      <c r="G372" s="5" t="str">
        <f>IFERROR(__xludf.DUMMYFUNCTION("""COMPUTED_VALUE"""),"Soya beans")</f>
        <v>Soya beans</v>
      </c>
      <c r="H372" s="6">
        <f>IFERROR(__xludf.DUMMYFUNCTION("""COMPUTED_VALUE"""),12700.0)</f>
        <v>12700</v>
      </c>
      <c r="I372" s="7">
        <f>IFERROR(__xludf.DUMMYFUNCTION("""COMPUTED_VALUE"""),44954.0)</f>
        <v>44954</v>
      </c>
      <c r="J372" s="7">
        <f>IFERROR(__xludf.DUMMYFUNCTION("""COMPUTED_VALUE"""),44959.0)</f>
        <v>44959</v>
      </c>
      <c r="K372" s="5" t="str">
        <f>IFERROR(__xludf.DUMMYFUNCTION("""COMPUTED_VALUE"""),"upper-middle-income")</f>
        <v>upper-middle-income</v>
      </c>
      <c r="L372" s="5" t="str">
        <f>IFERROR(__xludf.DUMMYFUNCTION("""COMPUTED_VALUE"""),"Barbados")</f>
        <v>Barbados</v>
      </c>
      <c r="M372" s="5" t="str">
        <f>IFERROR(__xludf.DUMMYFUNCTION("""COMPUTED_VALUE"""),"Europe &amp; Central Asia")</f>
        <v>Europe &amp; Central Asia</v>
      </c>
      <c r="N372" s="5" t="str">
        <f>IFERROR(__xludf.DUMMYFUNCTION("""COMPUTED_VALUE"""),"Asia-Pacific")</f>
        <v>Asia-Pacific</v>
      </c>
      <c r="O372" s="5" t="str">
        <f>IFERROR(__xludf.DUMMYFUNCTION("""COMPUTED_VALUE"""),"developing")</f>
        <v>developing</v>
      </c>
      <c r="P372" s="5"/>
      <c r="Q372" s="5"/>
    </row>
    <row r="373">
      <c r="A373" s="5" t="str">
        <f>IFERROR(__xludf.DUMMYFUNCTION("""COMPUTED_VALUE"""),"Outbound")</f>
        <v>Outbound</v>
      </c>
      <c r="B373" s="5">
        <f>IFERROR(__xludf.DUMMYFUNCTION("""COMPUTED_VALUE"""),684.0)</f>
        <v>684</v>
      </c>
      <c r="C373" s="5" t="str">
        <f>IFERROR(__xludf.DUMMYFUNCTION("""COMPUTED_VALUE"""),"DARYA MA")</f>
        <v>DARYA MA</v>
      </c>
      <c r="D373" s="5">
        <f>IFERROR(__xludf.DUMMYFUNCTION("""COMPUTED_VALUE"""),9591674.0)</f>
        <v>9591674</v>
      </c>
      <c r="E373" s="5" t="str">
        <f>IFERROR(__xludf.DUMMYFUNCTION("""COMPUTED_VALUE"""),"Chornomorsk")</f>
        <v>Chornomorsk</v>
      </c>
      <c r="F373" s="5" t="str">
        <f>IFERROR(__xludf.DUMMYFUNCTION("""COMPUTED_VALUE"""),"China")</f>
        <v>China</v>
      </c>
      <c r="G373" s="5" t="str">
        <f>IFERROR(__xludf.DUMMYFUNCTION("""COMPUTED_VALUE"""),"Corn")</f>
        <v>Corn</v>
      </c>
      <c r="H373" s="6">
        <f>IFERROR(__xludf.DUMMYFUNCTION("""COMPUTED_VALUE"""),67760.0)</f>
        <v>67760</v>
      </c>
      <c r="I373" s="7">
        <f>IFERROR(__xludf.DUMMYFUNCTION("""COMPUTED_VALUE"""),44954.0)</f>
        <v>44954</v>
      </c>
      <c r="J373" s="7">
        <f>IFERROR(__xludf.DUMMYFUNCTION("""COMPUTED_VALUE"""),44961.0)</f>
        <v>44961</v>
      </c>
      <c r="K373" s="5" t="str">
        <f>IFERROR(__xludf.DUMMYFUNCTION("""COMPUTED_VALUE"""),"upper-middle-income")</f>
        <v>upper-middle-income</v>
      </c>
      <c r="L373" s="5" t="str">
        <f>IFERROR(__xludf.DUMMYFUNCTION("""COMPUTED_VALUE"""),"Hong Kong")</f>
        <v>Hong Kong</v>
      </c>
      <c r="M373" s="5" t="str">
        <f>IFERROR(__xludf.DUMMYFUNCTION("""COMPUTED_VALUE"""),"East Asia &amp; Pacific")</f>
        <v>East Asia &amp; Pacific</v>
      </c>
      <c r="N373" s="5" t="str">
        <f>IFERROR(__xludf.DUMMYFUNCTION("""COMPUTED_VALUE"""),"Asia-Pacific")</f>
        <v>Asia-Pacific</v>
      </c>
      <c r="O373" s="5" t="str">
        <f>IFERROR(__xludf.DUMMYFUNCTION("""COMPUTED_VALUE"""),"developing")</f>
        <v>developing</v>
      </c>
      <c r="P373" s="5"/>
      <c r="Q373" s="5"/>
    </row>
    <row r="374">
      <c r="A374" s="5" t="str">
        <f>IFERROR(__xludf.DUMMYFUNCTION("""COMPUTED_VALUE"""),"Outbound")</f>
        <v>Outbound</v>
      </c>
      <c r="B374" s="5">
        <f>IFERROR(__xludf.DUMMYFUNCTION("""COMPUTED_VALUE"""),683.0)</f>
        <v>683</v>
      </c>
      <c r="C374" s="5" t="str">
        <f>IFERROR(__xludf.DUMMYFUNCTION("""COMPUTED_VALUE"""),"TYCOON")</f>
        <v>TYCOON</v>
      </c>
      <c r="D374" s="5">
        <f>IFERROR(__xludf.DUMMYFUNCTION("""COMPUTED_VALUE"""),9215543.0)</f>
        <v>9215543</v>
      </c>
      <c r="E374" s="5" t="str">
        <f>IFERROR(__xludf.DUMMYFUNCTION("""COMPUTED_VALUE"""),"Odesa")</f>
        <v>Odesa</v>
      </c>
      <c r="F374" s="5" t="str">
        <f>IFERROR(__xludf.DUMMYFUNCTION("""COMPUTED_VALUE"""),"Israel")</f>
        <v>Israel</v>
      </c>
      <c r="G374" s="5" t="str">
        <f>IFERROR(__xludf.DUMMYFUNCTION("""COMPUTED_VALUE"""),"Corn")</f>
        <v>Corn</v>
      </c>
      <c r="H374" s="6">
        <f>IFERROR(__xludf.DUMMYFUNCTION("""COMPUTED_VALUE"""),35000.0)</f>
        <v>35000</v>
      </c>
      <c r="I374" s="7">
        <f>IFERROR(__xludf.DUMMYFUNCTION("""COMPUTED_VALUE"""),44953.0)</f>
        <v>44953</v>
      </c>
      <c r="J374" s="7">
        <f>IFERROR(__xludf.DUMMYFUNCTION("""COMPUTED_VALUE"""),44964.0)</f>
        <v>44964</v>
      </c>
      <c r="K374" s="5" t="str">
        <f>IFERROR(__xludf.DUMMYFUNCTION("""COMPUTED_VALUE"""),"high-income")</f>
        <v>high-income</v>
      </c>
      <c r="L374" s="5" t="str">
        <f>IFERROR(__xludf.DUMMYFUNCTION("""COMPUTED_VALUE"""),"Liberia")</f>
        <v>Liberia</v>
      </c>
      <c r="M374" s="5" t="str">
        <f>IFERROR(__xludf.DUMMYFUNCTION("""COMPUTED_VALUE"""),"Middle East &amp; North Africa")</f>
        <v>Middle East &amp; North Africa</v>
      </c>
      <c r="N374" s="5" t="str">
        <f>IFERROR(__xludf.DUMMYFUNCTION("""COMPUTED_VALUE"""),"Western Europe and Others")</f>
        <v>Western Europe and Others</v>
      </c>
      <c r="O374" s="5" t="str">
        <f>IFERROR(__xludf.DUMMYFUNCTION("""COMPUTED_VALUE"""),"developed")</f>
        <v>developed</v>
      </c>
      <c r="P374" s="5"/>
      <c r="Q374" s="5"/>
    </row>
    <row r="375">
      <c r="A375" s="5" t="str">
        <f>IFERROR(__xludf.DUMMYFUNCTION("""COMPUTED_VALUE"""),"Outbound +")</f>
        <v>Outbound +</v>
      </c>
      <c r="B375" s="5">
        <f>IFERROR(__xludf.DUMMYFUNCTION("""COMPUTED_VALUE"""),683.0)</f>
        <v>683</v>
      </c>
      <c r="C375" s="5" t="str">
        <f>IFERROR(__xludf.DUMMYFUNCTION("""COMPUTED_VALUE"""),"TYCOON")</f>
        <v>TYCOON</v>
      </c>
      <c r="D375" s="5">
        <f>IFERROR(__xludf.DUMMYFUNCTION("""COMPUTED_VALUE"""),9215543.0)</f>
        <v>9215543</v>
      </c>
      <c r="E375" s="5" t="str">
        <f>IFERROR(__xludf.DUMMYFUNCTION("""COMPUTED_VALUE"""),"Odesa")</f>
        <v>Odesa</v>
      </c>
      <c r="F375" s="5" t="str">
        <f>IFERROR(__xludf.DUMMYFUNCTION("""COMPUTED_VALUE"""),"Israel")</f>
        <v>Israel</v>
      </c>
      <c r="G375" s="5" t="str">
        <f>IFERROR(__xludf.DUMMYFUNCTION("""COMPUTED_VALUE"""),"Wheat")</f>
        <v>Wheat</v>
      </c>
      <c r="H375" s="6">
        <f>IFERROR(__xludf.DUMMYFUNCTION("""COMPUTED_VALUE"""),27500.0)</f>
        <v>27500</v>
      </c>
      <c r="I375" s="7">
        <f>IFERROR(__xludf.DUMMYFUNCTION("""COMPUTED_VALUE"""),44953.0)</f>
        <v>44953</v>
      </c>
      <c r="J375" s="7">
        <f>IFERROR(__xludf.DUMMYFUNCTION("""COMPUTED_VALUE"""),44964.0)</f>
        <v>44964</v>
      </c>
      <c r="K375" s="5" t="str">
        <f>IFERROR(__xludf.DUMMYFUNCTION("""COMPUTED_VALUE"""),"high-income")</f>
        <v>high-income</v>
      </c>
      <c r="L375" s="5" t="str">
        <f>IFERROR(__xludf.DUMMYFUNCTION("""COMPUTED_VALUE"""),"Liberia")</f>
        <v>Liberia</v>
      </c>
      <c r="M375" s="5" t="str">
        <f>IFERROR(__xludf.DUMMYFUNCTION("""COMPUTED_VALUE"""),"Middle East &amp; North Africa")</f>
        <v>Middle East &amp; North Africa</v>
      </c>
      <c r="N375" s="5" t="str">
        <f>IFERROR(__xludf.DUMMYFUNCTION("""COMPUTED_VALUE"""),"Western Europe and Others")</f>
        <v>Western Europe and Others</v>
      </c>
      <c r="O375" s="5" t="str">
        <f>IFERROR(__xludf.DUMMYFUNCTION("""COMPUTED_VALUE"""),"developed")</f>
        <v>developed</v>
      </c>
      <c r="P375" s="5"/>
      <c r="Q375" s="5"/>
    </row>
    <row r="376">
      <c r="A376" s="5" t="str">
        <f>IFERROR(__xludf.DUMMYFUNCTION("""COMPUTED_VALUE"""),"Outbound")</f>
        <v>Outbound</v>
      </c>
      <c r="B376" s="5">
        <f>IFERROR(__xludf.DUMMYFUNCTION("""COMPUTED_VALUE"""),682.0)</f>
        <v>682</v>
      </c>
      <c r="C376" s="5" t="str">
        <f>IFERROR(__xludf.DUMMYFUNCTION("""COMPUTED_VALUE"""),"TUTOR")</f>
        <v>TUTOR</v>
      </c>
      <c r="D376" s="5">
        <f>IFERROR(__xludf.DUMMYFUNCTION("""COMPUTED_VALUE"""),9942627.0)</f>
        <v>9942627</v>
      </c>
      <c r="E376" s="5" t="str">
        <f>IFERROR(__xludf.DUMMYFUNCTION("""COMPUTED_VALUE"""),"Yuzhny/Pivdennyi")</f>
        <v>Yuzhny/Pivdennyi</v>
      </c>
      <c r="F376" s="5" t="str">
        <f>IFERROR(__xludf.DUMMYFUNCTION("""COMPUTED_VALUE"""),"Israel")</f>
        <v>Israel</v>
      </c>
      <c r="G376" s="5" t="str">
        <f>IFERROR(__xludf.DUMMYFUNCTION("""COMPUTED_VALUE"""),"Corn")</f>
        <v>Corn</v>
      </c>
      <c r="H376" s="6">
        <f>IFERROR(__xludf.DUMMYFUNCTION("""COMPUTED_VALUE"""),69756.0)</f>
        <v>69756</v>
      </c>
      <c r="I376" s="7">
        <f>IFERROR(__xludf.DUMMYFUNCTION("""COMPUTED_VALUE"""),44953.0)</f>
        <v>44953</v>
      </c>
      <c r="J376" s="7">
        <f>IFERROR(__xludf.DUMMYFUNCTION("""COMPUTED_VALUE"""),44972.0)</f>
        <v>44972</v>
      </c>
      <c r="K376" s="5" t="str">
        <f>IFERROR(__xludf.DUMMYFUNCTION("""COMPUTED_VALUE"""),"high-income")</f>
        <v>high-income</v>
      </c>
      <c r="L376" s="5" t="str">
        <f>IFERROR(__xludf.DUMMYFUNCTION("""COMPUTED_VALUE"""),"Liberia")</f>
        <v>Liberia</v>
      </c>
      <c r="M376" s="5" t="str">
        <f>IFERROR(__xludf.DUMMYFUNCTION("""COMPUTED_VALUE"""),"Middle East &amp; North Africa")</f>
        <v>Middle East &amp; North Africa</v>
      </c>
      <c r="N376" s="5" t="str">
        <f>IFERROR(__xludf.DUMMYFUNCTION("""COMPUTED_VALUE"""),"Western Europe and Others")</f>
        <v>Western Europe and Others</v>
      </c>
      <c r="O376" s="5" t="str">
        <f>IFERROR(__xludf.DUMMYFUNCTION("""COMPUTED_VALUE"""),"developed")</f>
        <v>developed</v>
      </c>
      <c r="P376" s="5"/>
      <c r="Q376" s="5"/>
    </row>
    <row r="377">
      <c r="A377" s="5" t="str">
        <f>IFERROR(__xludf.DUMMYFUNCTION("""COMPUTED_VALUE"""),"Outbound")</f>
        <v>Outbound</v>
      </c>
      <c r="B377" s="5">
        <f>IFERROR(__xludf.DUMMYFUNCTION("""COMPUTED_VALUE"""),681.0)</f>
        <v>681</v>
      </c>
      <c r="C377" s="5" t="str">
        <f>IFERROR(__xludf.DUMMYFUNCTION("""COMPUTED_VALUE"""),"SWORD LION")</f>
        <v>SWORD LION</v>
      </c>
      <c r="D377" s="5">
        <f>IFERROR(__xludf.DUMMYFUNCTION("""COMPUTED_VALUE"""),9136785.0)</f>
        <v>9136785</v>
      </c>
      <c r="E377" s="5" t="str">
        <f>IFERROR(__xludf.DUMMYFUNCTION("""COMPUTED_VALUE"""),"Odesa")</f>
        <v>Odesa</v>
      </c>
      <c r="F377" s="5" t="str">
        <f>IFERROR(__xludf.DUMMYFUNCTION("""COMPUTED_VALUE"""),"Italy")</f>
        <v>Italy</v>
      </c>
      <c r="G377" s="5" t="str">
        <f>IFERROR(__xludf.DUMMYFUNCTION("""COMPUTED_VALUE"""),"Corn")</f>
        <v>Corn</v>
      </c>
      <c r="H377" s="6">
        <f>IFERROR(__xludf.DUMMYFUNCTION("""COMPUTED_VALUE"""),25500.0)</f>
        <v>25500</v>
      </c>
      <c r="I377" s="7">
        <f>IFERROR(__xludf.DUMMYFUNCTION("""COMPUTED_VALUE"""),44953.0)</f>
        <v>44953</v>
      </c>
      <c r="J377" s="7">
        <f>IFERROR(__xludf.DUMMYFUNCTION("""COMPUTED_VALUE"""),44959.0)</f>
        <v>44959</v>
      </c>
      <c r="K377" s="5" t="str">
        <f>IFERROR(__xludf.DUMMYFUNCTION("""COMPUTED_VALUE"""),"high-income")</f>
        <v>high-income</v>
      </c>
      <c r="L377" s="5" t="str">
        <f>IFERROR(__xludf.DUMMYFUNCTION("""COMPUTED_VALUE"""),"Türkiye")</f>
        <v>Türkiye</v>
      </c>
      <c r="M377" s="5" t="str">
        <f>IFERROR(__xludf.DUMMYFUNCTION("""COMPUTED_VALUE"""),"Europe &amp; Central Asia")</f>
        <v>Europe &amp; Central Asia</v>
      </c>
      <c r="N377" s="5" t="str">
        <f>IFERROR(__xludf.DUMMYFUNCTION("""COMPUTED_VALUE"""),"Western Europe and Others")</f>
        <v>Western Europe and Others</v>
      </c>
      <c r="O377" s="5" t="str">
        <f>IFERROR(__xludf.DUMMYFUNCTION("""COMPUTED_VALUE"""),"developed")</f>
        <v>developed</v>
      </c>
      <c r="P377" s="5"/>
      <c r="Q377" s="5"/>
    </row>
    <row r="378">
      <c r="A378" s="5" t="str">
        <f>IFERROR(__xludf.DUMMYFUNCTION("""COMPUTED_VALUE"""),"Outbound")</f>
        <v>Outbound</v>
      </c>
      <c r="B378" s="5">
        <f>IFERROR(__xludf.DUMMYFUNCTION("""COMPUTED_VALUE"""),680.0)</f>
        <v>680</v>
      </c>
      <c r="C378" s="5" t="str">
        <f>IFERROR(__xludf.DUMMYFUNCTION("""COMPUTED_VALUE"""),"NAVIOS SAGITTARIUS")</f>
        <v>NAVIOS SAGITTARIUS</v>
      </c>
      <c r="D378" s="5">
        <f>IFERROR(__xludf.DUMMYFUNCTION("""COMPUTED_VALUE"""),9316866.0)</f>
        <v>9316866</v>
      </c>
      <c r="E378" s="5" t="str">
        <f>IFERROR(__xludf.DUMMYFUNCTION("""COMPUTED_VALUE"""),"Chornomorsk")</f>
        <v>Chornomorsk</v>
      </c>
      <c r="F378" s="5" t="str">
        <f>IFERROR(__xludf.DUMMYFUNCTION("""COMPUTED_VALUE"""),"Saudi Arabia")</f>
        <v>Saudi Arabia</v>
      </c>
      <c r="G378" s="5" t="str">
        <f>IFERROR(__xludf.DUMMYFUNCTION("""COMPUTED_VALUE"""),"Wheat")</f>
        <v>Wheat</v>
      </c>
      <c r="H378" s="6">
        <f>IFERROR(__xludf.DUMMYFUNCTION("""COMPUTED_VALUE"""),64175.0)</f>
        <v>64175</v>
      </c>
      <c r="I378" s="7">
        <f>IFERROR(__xludf.DUMMYFUNCTION("""COMPUTED_VALUE"""),44953.0)</f>
        <v>44953</v>
      </c>
      <c r="J378" s="7">
        <f>IFERROR(__xludf.DUMMYFUNCTION("""COMPUTED_VALUE"""),44966.0)</f>
        <v>44966</v>
      </c>
      <c r="K378" s="5" t="str">
        <f>IFERROR(__xludf.DUMMYFUNCTION("""COMPUTED_VALUE"""),"high-income")</f>
        <v>high-income</v>
      </c>
      <c r="L378" s="5" t="str">
        <f>IFERROR(__xludf.DUMMYFUNCTION("""COMPUTED_VALUE"""),"Panama")</f>
        <v>Panama</v>
      </c>
      <c r="M378" s="5" t="str">
        <f>IFERROR(__xludf.DUMMYFUNCTION("""COMPUTED_VALUE"""),"Middle East &amp; North Africa")</f>
        <v>Middle East &amp; North Africa</v>
      </c>
      <c r="N378" s="5" t="str">
        <f>IFERROR(__xludf.DUMMYFUNCTION("""COMPUTED_VALUE"""),"Asia-Pacific")</f>
        <v>Asia-Pacific</v>
      </c>
      <c r="O378" s="5" t="str">
        <f>IFERROR(__xludf.DUMMYFUNCTION("""COMPUTED_VALUE"""),"developing")</f>
        <v>developing</v>
      </c>
      <c r="P378" s="5"/>
      <c r="Q378" s="5"/>
    </row>
    <row r="379">
      <c r="A379" s="5" t="str">
        <f>IFERROR(__xludf.DUMMYFUNCTION("""COMPUTED_VALUE"""),"Outbound")</f>
        <v>Outbound</v>
      </c>
      <c r="B379" s="5">
        <f>IFERROR(__xludf.DUMMYFUNCTION("""COMPUTED_VALUE"""),679.0)</f>
        <v>679</v>
      </c>
      <c r="C379" s="5" t="str">
        <f>IFERROR(__xludf.DUMMYFUNCTION("""COMPUTED_VALUE"""),"DSM STAR")</f>
        <v>DSM STAR</v>
      </c>
      <c r="D379" s="5">
        <f>IFERROR(__xludf.DUMMYFUNCTION("""COMPUTED_VALUE"""),9524205.0)</f>
        <v>9524205</v>
      </c>
      <c r="E379" s="5" t="str">
        <f>IFERROR(__xludf.DUMMYFUNCTION("""COMPUTED_VALUE"""),"Chornomorsk")</f>
        <v>Chornomorsk</v>
      </c>
      <c r="F379" s="5" t="str">
        <f>IFERROR(__xludf.DUMMYFUNCTION("""COMPUTED_VALUE"""),"Spain")</f>
        <v>Spain</v>
      </c>
      <c r="G379" s="5" t="str">
        <f>IFERROR(__xludf.DUMMYFUNCTION("""COMPUTED_VALUE"""),"Corn")</f>
        <v>Corn</v>
      </c>
      <c r="H379" s="6">
        <f>IFERROR(__xludf.DUMMYFUNCTION("""COMPUTED_VALUE"""),8329.0)</f>
        <v>8329</v>
      </c>
      <c r="I379" s="7">
        <f>IFERROR(__xludf.DUMMYFUNCTION("""COMPUTED_VALUE"""),44953.0)</f>
        <v>44953</v>
      </c>
      <c r="J379" s="7">
        <f>IFERROR(__xludf.DUMMYFUNCTION("""COMPUTED_VALUE"""),44960.0)</f>
        <v>44960</v>
      </c>
      <c r="K379" s="5" t="str">
        <f>IFERROR(__xludf.DUMMYFUNCTION("""COMPUTED_VALUE"""),"high-income")</f>
        <v>high-income</v>
      </c>
      <c r="L379" s="5" t="str">
        <f>IFERROR(__xludf.DUMMYFUNCTION("""COMPUTED_VALUE"""),"Palau")</f>
        <v>Palau</v>
      </c>
      <c r="M379" s="5" t="str">
        <f>IFERROR(__xludf.DUMMYFUNCTION("""COMPUTED_VALUE"""),"Europe &amp; Central Asia")</f>
        <v>Europe &amp; Central Asia</v>
      </c>
      <c r="N379" s="5" t="str">
        <f>IFERROR(__xludf.DUMMYFUNCTION("""COMPUTED_VALUE"""),"Western Europe and Others")</f>
        <v>Western Europe and Others</v>
      </c>
      <c r="O379" s="5" t="str">
        <f>IFERROR(__xludf.DUMMYFUNCTION("""COMPUTED_VALUE"""),"developed")</f>
        <v>developed</v>
      </c>
      <c r="P379" s="5"/>
      <c r="Q379" s="5"/>
    </row>
    <row r="380">
      <c r="A380" s="5" t="str">
        <f>IFERROR(__xludf.DUMMYFUNCTION("""COMPUTED_VALUE"""),"Outbound +")</f>
        <v>Outbound +</v>
      </c>
      <c r="B380" s="5">
        <f>IFERROR(__xludf.DUMMYFUNCTION("""COMPUTED_VALUE"""),679.0)</f>
        <v>679</v>
      </c>
      <c r="C380" s="5" t="str">
        <f>IFERROR(__xludf.DUMMYFUNCTION("""COMPUTED_VALUE"""),"DSM STAR")</f>
        <v>DSM STAR</v>
      </c>
      <c r="D380" s="5">
        <f>IFERROR(__xludf.DUMMYFUNCTION("""COMPUTED_VALUE"""),9524205.0)</f>
        <v>9524205</v>
      </c>
      <c r="E380" s="5" t="str">
        <f>IFERROR(__xludf.DUMMYFUNCTION("""COMPUTED_VALUE"""),"Chornomorsk")</f>
        <v>Chornomorsk</v>
      </c>
      <c r="F380" s="5" t="str">
        <f>IFERROR(__xludf.DUMMYFUNCTION("""COMPUTED_VALUE"""),"Spain")</f>
        <v>Spain</v>
      </c>
      <c r="G380" s="5" t="str">
        <f>IFERROR(__xludf.DUMMYFUNCTION("""COMPUTED_VALUE"""),"Wheat")</f>
        <v>Wheat</v>
      </c>
      <c r="H380" s="6">
        <f>IFERROR(__xludf.DUMMYFUNCTION("""COMPUTED_VALUE"""),10734.0)</f>
        <v>10734</v>
      </c>
      <c r="I380" s="7">
        <f>IFERROR(__xludf.DUMMYFUNCTION("""COMPUTED_VALUE"""),44953.0)</f>
        <v>44953</v>
      </c>
      <c r="J380" s="7">
        <f>IFERROR(__xludf.DUMMYFUNCTION("""COMPUTED_VALUE"""),44960.0)</f>
        <v>44960</v>
      </c>
      <c r="K380" s="5" t="str">
        <f>IFERROR(__xludf.DUMMYFUNCTION("""COMPUTED_VALUE"""),"high-income")</f>
        <v>high-income</v>
      </c>
      <c r="L380" s="5" t="str">
        <f>IFERROR(__xludf.DUMMYFUNCTION("""COMPUTED_VALUE"""),"Palau")</f>
        <v>Palau</v>
      </c>
      <c r="M380" s="5" t="str">
        <f>IFERROR(__xludf.DUMMYFUNCTION("""COMPUTED_VALUE"""),"Europe &amp; Central Asia")</f>
        <v>Europe &amp; Central Asia</v>
      </c>
      <c r="N380" s="5" t="str">
        <f>IFERROR(__xludf.DUMMYFUNCTION("""COMPUTED_VALUE"""),"Western Europe and Others")</f>
        <v>Western Europe and Others</v>
      </c>
      <c r="O380" s="5" t="str">
        <f>IFERROR(__xludf.DUMMYFUNCTION("""COMPUTED_VALUE"""),"developed")</f>
        <v>developed</v>
      </c>
      <c r="P380" s="5"/>
      <c r="Q380" s="5"/>
    </row>
    <row r="381">
      <c r="A381" s="5" t="str">
        <f>IFERROR(__xludf.DUMMYFUNCTION("""COMPUTED_VALUE"""),"Outbound")</f>
        <v>Outbound</v>
      </c>
      <c r="B381" s="5">
        <f>IFERROR(__xludf.DUMMYFUNCTION("""COMPUTED_VALUE"""),678.0)</f>
        <v>678</v>
      </c>
      <c r="C381" s="5" t="str">
        <f>IFERROR(__xludf.DUMMYFUNCTION("""COMPUTED_VALUE"""),"CALYPSO V")</f>
        <v>CALYPSO V</v>
      </c>
      <c r="D381" s="5">
        <f>IFERROR(__xludf.DUMMYFUNCTION("""COMPUTED_VALUE"""),9381213.0)</f>
        <v>9381213</v>
      </c>
      <c r="E381" s="5" t="str">
        <f>IFERROR(__xludf.DUMMYFUNCTION("""COMPUTED_VALUE"""),"Yuzhny/Pivdennyi")</f>
        <v>Yuzhny/Pivdennyi</v>
      </c>
      <c r="F381" s="5" t="str">
        <f>IFERROR(__xludf.DUMMYFUNCTION("""COMPUTED_VALUE"""),"China")</f>
        <v>China</v>
      </c>
      <c r="G381" s="5" t="str">
        <f>IFERROR(__xludf.DUMMYFUNCTION("""COMPUTED_VALUE"""),"Corn")</f>
        <v>Corn</v>
      </c>
      <c r="H381" s="6">
        <f>IFERROR(__xludf.DUMMYFUNCTION("""COMPUTED_VALUE"""),68177.0)</f>
        <v>68177</v>
      </c>
      <c r="I381" s="7">
        <f>IFERROR(__xludf.DUMMYFUNCTION("""COMPUTED_VALUE"""),44953.0)</f>
        <v>44953</v>
      </c>
      <c r="J381" s="7">
        <f>IFERROR(__xludf.DUMMYFUNCTION("""COMPUTED_VALUE"""),44961.0)</f>
        <v>44961</v>
      </c>
      <c r="K381" s="5" t="str">
        <f>IFERROR(__xludf.DUMMYFUNCTION("""COMPUTED_VALUE"""),"upper-middle-income")</f>
        <v>upper-middle-income</v>
      </c>
      <c r="L381" s="5" t="str">
        <f>IFERROR(__xludf.DUMMYFUNCTION("""COMPUTED_VALUE"""),"Panama")</f>
        <v>Panama</v>
      </c>
      <c r="M381" s="5" t="str">
        <f>IFERROR(__xludf.DUMMYFUNCTION("""COMPUTED_VALUE"""),"East Asia &amp; Pacific")</f>
        <v>East Asia &amp; Pacific</v>
      </c>
      <c r="N381" s="5" t="str">
        <f>IFERROR(__xludf.DUMMYFUNCTION("""COMPUTED_VALUE"""),"Asia-Pacific")</f>
        <v>Asia-Pacific</v>
      </c>
      <c r="O381" s="5" t="str">
        <f>IFERROR(__xludf.DUMMYFUNCTION("""COMPUTED_VALUE"""),"developing")</f>
        <v>developing</v>
      </c>
      <c r="P381" s="5"/>
      <c r="Q381" s="5"/>
    </row>
    <row r="382">
      <c r="A382" s="5" t="str">
        <f>IFERROR(__xludf.DUMMYFUNCTION("""COMPUTED_VALUE"""),"Outbound")</f>
        <v>Outbound</v>
      </c>
      <c r="B382" s="5">
        <f>IFERROR(__xludf.DUMMYFUNCTION("""COMPUTED_VALUE"""),677.0)</f>
        <v>677</v>
      </c>
      <c r="C382" s="5" t="str">
        <f>IFERROR(__xludf.DUMMYFUNCTION("""COMPUTED_VALUE"""),"ARCTURUS")</f>
        <v>ARCTURUS</v>
      </c>
      <c r="D382" s="5">
        <f>IFERROR(__xludf.DUMMYFUNCTION("""COMPUTED_VALUE"""),9221334.0)</f>
        <v>9221334</v>
      </c>
      <c r="E382" s="5" t="str">
        <f>IFERROR(__xludf.DUMMYFUNCTION("""COMPUTED_VALUE"""),"Odesa")</f>
        <v>Odesa</v>
      </c>
      <c r="F382" s="5" t="str">
        <f>IFERROR(__xludf.DUMMYFUNCTION("""COMPUTED_VALUE"""),"Kenya")</f>
        <v>Kenya</v>
      </c>
      <c r="G382" s="5" t="str">
        <f>IFERROR(__xludf.DUMMYFUNCTION("""COMPUTED_VALUE"""),"Wheat")</f>
        <v>Wheat</v>
      </c>
      <c r="H382" s="6">
        <f>IFERROR(__xludf.DUMMYFUNCTION("""COMPUTED_VALUE"""),59770.0)</f>
        <v>59770</v>
      </c>
      <c r="I382" s="7">
        <f>IFERROR(__xludf.DUMMYFUNCTION("""COMPUTED_VALUE"""),44953.0)</f>
        <v>44953</v>
      </c>
      <c r="J382" s="7">
        <f>IFERROR(__xludf.DUMMYFUNCTION("""COMPUTED_VALUE"""),44966.0)</f>
        <v>44966</v>
      </c>
      <c r="K382" s="5" t="str">
        <f>IFERROR(__xludf.DUMMYFUNCTION("""COMPUTED_VALUE"""),"lower-middle income")</f>
        <v>lower-middle income</v>
      </c>
      <c r="L382" s="5" t="str">
        <f>IFERROR(__xludf.DUMMYFUNCTION("""COMPUTED_VALUE"""),"Liberia")</f>
        <v>Liberia</v>
      </c>
      <c r="M382" s="5" t="str">
        <f>IFERROR(__xludf.DUMMYFUNCTION("""COMPUTED_VALUE"""),"Sub-Saharan Africa")</f>
        <v>Sub-Saharan Africa</v>
      </c>
      <c r="N382" s="5" t="str">
        <f>IFERROR(__xludf.DUMMYFUNCTION("""COMPUTED_VALUE"""),"Africa")</f>
        <v>Africa</v>
      </c>
      <c r="O382" s="5" t="str">
        <f>IFERROR(__xludf.DUMMYFUNCTION("""COMPUTED_VALUE"""),"developing")</f>
        <v>developing</v>
      </c>
      <c r="P382" s="5"/>
      <c r="Q382" s="5"/>
    </row>
    <row r="383">
      <c r="A383" s="5" t="str">
        <f>IFERROR(__xludf.DUMMYFUNCTION("""COMPUTED_VALUE"""),"Outbound")</f>
        <v>Outbound</v>
      </c>
      <c r="B383" s="5">
        <f>IFERROR(__xludf.DUMMYFUNCTION("""COMPUTED_VALUE"""),676.0)</f>
        <v>676</v>
      </c>
      <c r="C383" s="5" t="str">
        <f>IFERROR(__xludf.DUMMYFUNCTION("""COMPUTED_VALUE"""),"MICHALAKIS")</f>
        <v>MICHALAKIS</v>
      </c>
      <c r="D383" s="5">
        <f>IFERROR(__xludf.DUMMYFUNCTION("""COMPUTED_VALUE"""),9182162.0)</f>
        <v>9182162</v>
      </c>
      <c r="E383" s="5" t="str">
        <f>IFERROR(__xludf.DUMMYFUNCTION("""COMPUTED_VALUE"""),"Chornomorsk")</f>
        <v>Chornomorsk</v>
      </c>
      <c r="F383" s="5" t="str">
        <f>IFERROR(__xludf.DUMMYFUNCTION("""COMPUTED_VALUE"""),"Italy")</f>
        <v>Italy</v>
      </c>
      <c r="G383" s="5" t="str">
        <f>IFERROR(__xludf.DUMMYFUNCTION("""COMPUTED_VALUE"""),"Corn")</f>
        <v>Corn</v>
      </c>
      <c r="H383" s="6">
        <f>IFERROR(__xludf.DUMMYFUNCTION("""COMPUTED_VALUE"""),33000.0)</f>
        <v>33000</v>
      </c>
      <c r="I383" s="7">
        <f>IFERROR(__xludf.DUMMYFUNCTION("""COMPUTED_VALUE"""),44952.0)</f>
        <v>44952</v>
      </c>
      <c r="J383" s="7">
        <f>IFERROR(__xludf.DUMMYFUNCTION("""COMPUTED_VALUE"""),44962.0)</f>
        <v>44962</v>
      </c>
      <c r="K383" s="5" t="str">
        <f>IFERROR(__xludf.DUMMYFUNCTION("""COMPUTED_VALUE"""),"high-income")</f>
        <v>high-income</v>
      </c>
      <c r="L383" s="5" t="str">
        <f>IFERROR(__xludf.DUMMYFUNCTION("""COMPUTED_VALUE"""),"Belize")</f>
        <v>Belize</v>
      </c>
      <c r="M383" s="5" t="str">
        <f>IFERROR(__xludf.DUMMYFUNCTION("""COMPUTED_VALUE"""),"Europe &amp; Central Asia")</f>
        <v>Europe &amp; Central Asia</v>
      </c>
      <c r="N383" s="5" t="str">
        <f>IFERROR(__xludf.DUMMYFUNCTION("""COMPUTED_VALUE"""),"Western Europe and Others")</f>
        <v>Western Europe and Others</v>
      </c>
      <c r="O383" s="5" t="str">
        <f>IFERROR(__xludf.DUMMYFUNCTION("""COMPUTED_VALUE"""),"developed")</f>
        <v>developed</v>
      </c>
      <c r="P383" s="5"/>
      <c r="Q383" s="5"/>
    </row>
    <row r="384">
      <c r="A384" s="5" t="str">
        <f>IFERROR(__xludf.DUMMYFUNCTION("""COMPUTED_VALUE"""),"Outbound")</f>
        <v>Outbound</v>
      </c>
      <c r="B384" s="5">
        <f>IFERROR(__xludf.DUMMYFUNCTION("""COMPUTED_VALUE"""),675.0)</f>
        <v>675</v>
      </c>
      <c r="C384" s="5" t="str">
        <f>IFERROR(__xludf.DUMMYFUNCTION("""COMPUTED_VALUE"""),"KHALED A")</f>
        <v>KHALED A</v>
      </c>
      <c r="D384" s="5">
        <f>IFERROR(__xludf.DUMMYFUNCTION("""COMPUTED_VALUE"""),9010046.0)</f>
        <v>9010046</v>
      </c>
      <c r="E384" s="5" t="str">
        <f>IFERROR(__xludf.DUMMYFUNCTION("""COMPUTED_VALUE"""),"Yuzhny/Pivdennyi")</f>
        <v>Yuzhny/Pivdennyi</v>
      </c>
      <c r="F384" s="5" t="str">
        <f>IFERROR(__xludf.DUMMYFUNCTION("""COMPUTED_VALUE"""),"Türkiye")</f>
        <v>Türkiye</v>
      </c>
      <c r="G384" s="5" t="str">
        <f>IFERROR(__xludf.DUMMYFUNCTION("""COMPUTED_VALUE"""),"Barley")</f>
        <v>Barley</v>
      </c>
      <c r="H384" s="6">
        <f>IFERROR(__xludf.DUMMYFUNCTION("""COMPUTED_VALUE"""),7000.0)</f>
        <v>7000</v>
      </c>
      <c r="I384" s="7">
        <f>IFERROR(__xludf.DUMMYFUNCTION("""COMPUTED_VALUE"""),44952.0)</f>
        <v>44952</v>
      </c>
      <c r="J384" s="7">
        <f>IFERROR(__xludf.DUMMYFUNCTION("""COMPUTED_VALUE"""),44960.0)</f>
        <v>44960</v>
      </c>
      <c r="K384" s="5" t="str">
        <f>IFERROR(__xludf.DUMMYFUNCTION("""COMPUTED_VALUE"""),"upper-middle-income")</f>
        <v>upper-middle-income</v>
      </c>
      <c r="L384" s="5" t="str">
        <f>IFERROR(__xludf.DUMMYFUNCTION("""COMPUTED_VALUE"""),"Togo")</f>
        <v>Togo</v>
      </c>
      <c r="M384" s="5" t="str">
        <f>IFERROR(__xludf.DUMMYFUNCTION("""COMPUTED_VALUE"""),"Europe &amp; Central Asia")</f>
        <v>Europe &amp; Central Asia</v>
      </c>
      <c r="N384" s="5" t="str">
        <f>IFERROR(__xludf.DUMMYFUNCTION("""COMPUTED_VALUE"""),"Asia-Pacific")</f>
        <v>Asia-Pacific</v>
      </c>
      <c r="O384" s="5" t="str">
        <f>IFERROR(__xludf.DUMMYFUNCTION("""COMPUTED_VALUE"""),"developing")</f>
        <v>developing</v>
      </c>
      <c r="P384" s="5"/>
      <c r="Q384" s="5"/>
    </row>
    <row r="385">
      <c r="A385" s="5" t="str">
        <f>IFERROR(__xludf.DUMMYFUNCTION("""COMPUTED_VALUE"""),"Outbound")</f>
        <v>Outbound</v>
      </c>
      <c r="B385" s="5">
        <f>IFERROR(__xludf.DUMMYFUNCTION("""COMPUTED_VALUE"""),674.0)</f>
        <v>674</v>
      </c>
      <c r="C385" s="5" t="str">
        <f>IFERROR(__xludf.DUMMYFUNCTION("""COMPUTED_VALUE"""),"NORDEA STAR")</f>
        <v>NORDEA STAR</v>
      </c>
      <c r="D385" s="5">
        <f>IFERROR(__xludf.DUMMYFUNCTION("""COMPUTED_VALUE"""),9124213.0)</f>
        <v>9124213</v>
      </c>
      <c r="E385" s="5" t="str">
        <f>IFERROR(__xludf.DUMMYFUNCTION("""COMPUTED_VALUE"""),"Chornomorsk")</f>
        <v>Chornomorsk</v>
      </c>
      <c r="F385" s="5" t="str">
        <f>IFERROR(__xludf.DUMMYFUNCTION("""COMPUTED_VALUE"""),"Libya")</f>
        <v>Libya</v>
      </c>
      <c r="G385" s="5" t="str">
        <f>IFERROR(__xludf.DUMMYFUNCTION("""COMPUTED_VALUE"""),"Barley")</f>
        <v>Barley</v>
      </c>
      <c r="H385" s="6">
        <f>IFERROR(__xludf.DUMMYFUNCTION("""COMPUTED_VALUE"""),9100.0)</f>
        <v>9100</v>
      </c>
      <c r="I385" s="7">
        <f>IFERROR(__xludf.DUMMYFUNCTION("""COMPUTED_VALUE"""),44950.0)</f>
        <v>44950</v>
      </c>
      <c r="J385" s="7">
        <f>IFERROR(__xludf.DUMMYFUNCTION("""COMPUTED_VALUE"""),44958.0)</f>
        <v>44958</v>
      </c>
      <c r="K385" s="5" t="str">
        <f>IFERROR(__xludf.DUMMYFUNCTION("""COMPUTED_VALUE"""),"upper-middle-income")</f>
        <v>upper-middle-income</v>
      </c>
      <c r="L385" s="5" t="str">
        <f>IFERROR(__xludf.DUMMYFUNCTION("""COMPUTED_VALUE"""),"Palau")</f>
        <v>Palau</v>
      </c>
      <c r="M385" s="5" t="str">
        <f>IFERROR(__xludf.DUMMYFUNCTION("""COMPUTED_VALUE"""),"Middle East &amp; North Africa")</f>
        <v>Middle East &amp; North Africa</v>
      </c>
      <c r="N385" s="5" t="str">
        <f>IFERROR(__xludf.DUMMYFUNCTION("""COMPUTED_VALUE"""),"Africa")</f>
        <v>Africa</v>
      </c>
      <c r="O385" s="5" t="str">
        <f>IFERROR(__xludf.DUMMYFUNCTION("""COMPUTED_VALUE"""),"developing")</f>
        <v>developing</v>
      </c>
      <c r="P385" s="5"/>
      <c r="Q385" s="5"/>
    </row>
    <row r="386">
      <c r="A386" s="5" t="str">
        <f>IFERROR(__xludf.DUMMYFUNCTION("""COMPUTED_VALUE"""),"Outbound")</f>
        <v>Outbound</v>
      </c>
      <c r="B386" s="5">
        <f>IFERROR(__xludf.DUMMYFUNCTION("""COMPUTED_VALUE"""),673.0)</f>
        <v>673</v>
      </c>
      <c r="C386" s="5" t="str">
        <f>IFERROR(__xludf.DUMMYFUNCTION("""COMPUTED_VALUE"""),"ATA")</f>
        <v>ATA</v>
      </c>
      <c r="D386" s="5">
        <f>IFERROR(__xludf.DUMMYFUNCTION("""COMPUTED_VALUE"""),9521899.0)</f>
        <v>9521899</v>
      </c>
      <c r="E386" s="5" t="str">
        <f>IFERROR(__xludf.DUMMYFUNCTION("""COMPUTED_VALUE"""),"Odesa")</f>
        <v>Odesa</v>
      </c>
      <c r="F386" s="5" t="str">
        <f>IFERROR(__xludf.DUMMYFUNCTION("""COMPUTED_VALUE"""),"Israel")</f>
        <v>Israel</v>
      </c>
      <c r="G386" s="5" t="str">
        <f>IFERROR(__xludf.DUMMYFUNCTION("""COMPUTED_VALUE"""),"Barley")</f>
        <v>Barley</v>
      </c>
      <c r="H386" s="6">
        <f>IFERROR(__xludf.DUMMYFUNCTION("""COMPUTED_VALUE"""),15300.0)</f>
        <v>15300</v>
      </c>
      <c r="I386" s="7">
        <f>IFERROR(__xludf.DUMMYFUNCTION("""COMPUTED_VALUE"""),44949.0)</f>
        <v>44949</v>
      </c>
      <c r="J386" s="7">
        <f>IFERROR(__xludf.DUMMYFUNCTION("""COMPUTED_VALUE"""),44958.0)</f>
        <v>44958</v>
      </c>
      <c r="K386" s="5" t="str">
        <f>IFERROR(__xludf.DUMMYFUNCTION("""COMPUTED_VALUE"""),"high-income")</f>
        <v>high-income</v>
      </c>
      <c r="L386" s="5" t="str">
        <f>IFERROR(__xludf.DUMMYFUNCTION("""COMPUTED_VALUE"""),"Panama")</f>
        <v>Panama</v>
      </c>
      <c r="M386" s="5" t="str">
        <f>IFERROR(__xludf.DUMMYFUNCTION("""COMPUTED_VALUE"""),"Middle East &amp; North Africa")</f>
        <v>Middle East &amp; North Africa</v>
      </c>
      <c r="N386" s="5" t="str">
        <f>IFERROR(__xludf.DUMMYFUNCTION("""COMPUTED_VALUE"""),"Western Europe and Others")</f>
        <v>Western Europe and Others</v>
      </c>
      <c r="O386" s="5" t="str">
        <f>IFERROR(__xludf.DUMMYFUNCTION("""COMPUTED_VALUE"""),"developed")</f>
        <v>developed</v>
      </c>
      <c r="P386" s="5"/>
      <c r="Q386" s="5"/>
    </row>
    <row r="387">
      <c r="A387" s="5" t="str">
        <f>IFERROR(__xludf.DUMMYFUNCTION("""COMPUTED_VALUE"""),"Outbound")</f>
        <v>Outbound</v>
      </c>
      <c r="B387" s="5">
        <f>IFERROR(__xludf.DUMMYFUNCTION("""COMPUTED_VALUE"""),672.0)</f>
        <v>672</v>
      </c>
      <c r="C387" s="5" t="str">
        <f>IFERROR(__xludf.DUMMYFUNCTION("""COMPUTED_VALUE"""),"AMYNTOR")</f>
        <v>AMYNTOR</v>
      </c>
      <c r="D387" s="5">
        <f>IFERROR(__xludf.DUMMYFUNCTION("""COMPUTED_VALUE"""),9515656.0)</f>
        <v>9515656</v>
      </c>
      <c r="E387" s="5" t="str">
        <f>IFERROR(__xludf.DUMMYFUNCTION("""COMPUTED_VALUE"""),"Yuzhny/Pivdennyi")</f>
        <v>Yuzhny/Pivdennyi</v>
      </c>
      <c r="F387" s="5" t="str">
        <f>IFERROR(__xludf.DUMMYFUNCTION("""COMPUTED_VALUE"""),"The Netherlands")</f>
        <v>The Netherlands</v>
      </c>
      <c r="G387" s="5" t="str">
        <f>IFERROR(__xludf.DUMMYFUNCTION("""COMPUTED_VALUE"""),"Corn")</f>
        <v>Corn</v>
      </c>
      <c r="H387" s="6">
        <f>IFERROR(__xludf.DUMMYFUNCTION("""COMPUTED_VALUE"""),27260.0)</f>
        <v>27260</v>
      </c>
      <c r="I387" s="7">
        <f>IFERROR(__xludf.DUMMYFUNCTION("""COMPUTED_VALUE"""),44949.0)</f>
        <v>44949</v>
      </c>
      <c r="J387" s="7">
        <f>IFERROR(__xludf.DUMMYFUNCTION("""COMPUTED_VALUE"""),44957.0)</f>
        <v>44957</v>
      </c>
      <c r="K387" s="5" t="str">
        <f>IFERROR(__xludf.DUMMYFUNCTION("""COMPUTED_VALUE"""),"high-income")</f>
        <v>high-income</v>
      </c>
      <c r="L387" s="5" t="str">
        <f>IFERROR(__xludf.DUMMYFUNCTION("""COMPUTED_VALUE"""),"Marshall Islands")</f>
        <v>Marshall Islands</v>
      </c>
      <c r="M387" s="5" t="str">
        <f>IFERROR(__xludf.DUMMYFUNCTION("""COMPUTED_VALUE"""),"Europe &amp; Central Asia")</f>
        <v>Europe &amp; Central Asia</v>
      </c>
      <c r="N387" s="5" t="str">
        <f>IFERROR(__xludf.DUMMYFUNCTION("""COMPUTED_VALUE"""),"Western Europe and Others")</f>
        <v>Western Europe and Others</v>
      </c>
      <c r="O387" s="5" t="str">
        <f>IFERROR(__xludf.DUMMYFUNCTION("""COMPUTED_VALUE"""),"developed")</f>
        <v>developed</v>
      </c>
      <c r="P387" s="5"/>
      <c r="Q387" s="5"/>
    </row>
    <row r="388">
      <c r="A388" s="5" t="str">
        <f>IFERROR(__xludf.DUMMYFUNCTION("""COMPUTED_VALUE"""),"Outbound")</f>
        <v>Outbound</v>
      </c>
      <c r="B388" s="5">
        <f>IFERROR(__xludf.DUMMYFUNCTION("""COMPUTED_VALUE"""),671.0)</f>
        <v>671</v>
      </c>
      <c r="C388" s="5" t="str">
        <f>IFERROR(__xludf.DUMMYFUNCTION("""COMPUTED_VALUE"""),"SANITA S")</f>
        <v>SANITA S</v>
      </c>
      <c r="D388" s="5">
        <f>IFERROR(__xludf.DUMMYFUNCTION("""COMPUTED_VALUE"""),9237888.0)</f>
        <v>9237888</v>
      </c>
      <c r="E388" s="5" t="str">
        <f>IFERROR(__xludf.DUMMYFUNCTION("""COMPUTED_VALUE"""),"Chornomorsk")</f>
        <v>Chornomorsk</v>
      </c>
      <c r="F388" s="5" t="str">
        <f>IFERROR(__xludf.DUMMYFUNCTION("""COMPUTED_VALUE"""),"Türkiye")</f>
        <v>Türkiye</v>
      </c>
      <c r="G388" s="5" t="str">
        <f>IFERROR(__xludf.DUMMYFUNCTION("""COMPUTED_VALUE"""),"Wheat")</f>
        <v>Wheat</v>
      </c>
      <c r="H388" s="6">
        <f>IFERROR(__xludf.DUMMYFUNCTION("""COMPUTED_VALUE"""),45150.0)</f>
        <v>45150</v>
      </c>
      <c r="I388" s="7">
        <f>IFERROR(__xludf.DUMMYFUNCTION("""COMPUTED_VALUE"""),44948.0)</f>
        <v>44948</v>
      </c>
      <c r="J388" s="7">
        <f>IFERROR(__xludf.DUMMYFUNCTION("""COMPUTED_VALUE"""),44957.0)</f>
        <v>44957</v>
      </c>
      <c r="K388" s="5" t="str">
        <f>IFERROR(__xludf.DUMMYFUNCTION("""COMPUTED_VALUE"""),"upper-middle-income")</f>
        <v>upper-middle-income</v>
      </c>
      <c r="L388" s="5" t="str">
        <f>IFERROR(__xludf.DUMMYFUNCTION("""COMPUTED_VALUE"""),"Turkiye")</f>
        <v>Turkiye</v>
      </c>
      <c r="M388" s="5" t="str">
        <f>IFERROR(__xludf.DUMMYFUNCTION("""COMPUTED_VALUE"""),"Europe &amp; Central Asia")</f>
        <v>Europe &amp; Central Asia</v>
      </c>
      <c r="N388" s="5" t="str">
        <f>IFERROR(__xludf.DUMMYFUNCTION("""COMPUTED_VALUE"""),"Asia-Pacific")</f>
        <v>Asia-Pacific</v>
      </c>
      <c r="O388" s="5" t="str">
        <f>IFERROR(__xludf.DUMMYFUNCTION("""COMPUTED_VALUE"""),"developing")</f>
        <v>developing</v>
      </c>
      <c r="P388" s="5"/>
      <c r="Q388" s="5"/>
    </row>
    <row r="389">
      <c r="A389" s="5" t="str">
        <f>IFERROR(__xludf.DUMMYFUNCTION("""COMPUTED_VALUE"""),"Outbound")</f>
        <v>Outbound</v>
      </c>
      <c r="B389" s="5">
        <f>IFERROR(__xludf.DUMMYFUNCTION("""COMPUTED_VALUE"""),670.0)</f>
        <v>670</v>
      </c>
      <c r="C389" s="5" t="str">
        <f>IFERROR(__xludf.DUMMYFUNCTION("""COMPUTED_VALUE"""),"BC VANESSA")</f>
        <v>BC VANESSA</v>
      </c>
      <c r="D389" s="5">
        <f>IFERROR(__xludf.DUMMYFUNCTION("""COMPUTED_VALUE"""),9426855.0)</f>
        <v>9426855</v>
      </c>
      <c r="E389" s="5" t="str">
        <f>IFERROR(__xludf.DUMMYFUNCTION("""COMPUTED_VALUE"""),"Yuzhny/Pivdennyi")</f>
        <v>Yuzhny/Pivdennyi</v>
      </c>
      <c r="F389" s="5" t="str">
        <f>IFERROR(__xludf.DUMMYFUNCTION("""COMPUTED_VALUE"""),"Spain")</f>
        <v>Spain</v>
      </c>
      <c r="G389" s="5" t="str">
        <f>IFERROR(__xludf.DUMMYFUNCTION("""COMPUTED_VALUE"""),"Wheat")</f>
        <v>Wheat</v>
      </c>
      <c r="H389" s="6">
        <f>IFERROR(__xludf.DUMMYFUNCTION("""COMPUTED_VALUE"""),7300.0)</f>
        <v>7300</v>
      </c>
      <c r="I389" s="7">
        <f>IFERROR(__xludf.DUMMYFUNCTION("""COMPUTED_VALUE"""),44948.0)</f>
        <v>44948</v>
      </c>
      <c r="J389" s="7">
        <f>IFERROR(__xludf.DUMMYFUNCTION("""COMPUTED_VALUE"""),44957.0)</f>
        <v>44957</v>
      </c>
      <c r="K389" s="5" t="str">
        <f>IFERROR(__xludf.DUMMYFUNCTION("""COMPUTED_VALUE"""),"high-income")</f>
        <v>high-income</v>
      </c>
      <c r="L389" s="5" t="str">
        <f>IFERROR(__xludf.DUMMYFUNCTION("""COMPUTED_VALUE"""),"Barbados")</f>
        <v>Barbados</v>
      </c>
      <c r="M389" s="5" t="str">
        <f>IFERROR(__xludf.DUMMYFUNCTION("""COMPUTED_VALUE"""),"Europe &amp; Central Asia")</f>
        <v>Europe &amp; Central Asia</v>
      </c>
      <c r="N389" s="5" t="str">
        <f>IFERROR(__xludf.DUMMYFUNCTION("""COMPUTED_VALUE"""),"Western Europe and Others")</f>
        <v>Western Europe and Others</v>
      </c>
      <c r="O389" s="5" t="str">
        <f>IFERROR(__xludf.DUMMYFUNCTION("""COMPUTED_VALUE"""),"developed")</f>
        <v>developed</v>
      </c>
      <c r="P389" s="5"/>
      <c r="Q389" s="5"/>
    </row>
    <row r="390">
      <c r="A390" s="5" t="str">
        <f>IFERROR(__xludf.DUMMYFUNCTION("""COMPUTED_VALUE"""),"Outbound +")</f>
        <v>Outbound +</v>
      </c>
      <c r="B390" s="5">
        <f>IFERROR(__xludf.DUMMYFUNCTION("""COMPUTED_VALUE"""),670.0)</f>
        <v>670</v>
      </c>
      <c r="C390" s="5" t="str">
        <f>IFERROR(__xludf.DUMMYFUNCTION("""COMPUTED_VALUE"""),"BC VANESSA")</f>
        <v>BC VANESSA</v>
      </c>
      <c r="D390" s="5">
        <f>IFERROR(__xludf.DUMMYFUNCTION("""COMPUTED_VALUE"""),9426855.0)</f>
        <v>9426855</v>
      </c>
      <c r="E390" s="5" t="str">
        <f>IFERROR(__xludf.DUMMYFUNCTION("""COMPUTED_VALUE"""),"Yuzhny/Pivdennyi")</f>
        <v>Yuzhny/Pivdennyi</v>
      </c>
      <c r="F390" s="5" t="str">
        <f>IFERROR(__xludf.DUMMYFUNCTION("""COMPUTED_VALUE"""),"Spain")</f>
        <v>Spain</v>
      </c>
      <c r="G390" s="5" t="str">
        <f>IFERROR(__xludf.DUMMYFUNCTION("""COMPUTED_VALUE"""),"Corn")</f>
        <v>Corn</v>
      </c>
      <c r="H390" s="6">
        <f>IFERROR(__xludf.DUMMYFUNCTION("""COMPUTED_VALUE"""),23050.0)</f>
        <v>23050</v>
      </c>
      <c r="I390" s="7">
        <f>IFERROR(__xludf.DUMMYFUNCTION("""COMPUTED_VALUE"""),44948.0)</f>
        <v>44948</v>
      </c>
      <c r="J390" s="7">
        <f>IFERROR(__xludf.DUMMYFUNCTION("""COMPUTED_VALUE"""),44957.0)</f>
        <v>44957</v>
      </c>
      <c r="K390" s="5" t="str">
        <f>IFERROR(__xludf.DUMMYFUNCTION("""COMPUTED_VALUE"""),"high-income")</f>
        <v>high-income</v>
      </c>
      <c r="L390" s="5" t="str">
        <f>IFERROR(__xludf.DUMMYFUNCTION("""COMPUTED_VALUE"""),"Barbados")</f>
        <v>Barbados</v>
      </c>
      <c r="M390" s="5" t="str">
        <f>IFERROR(__xludf.DUMMYFUNCTION("""COMPUTED_VALUE"""),"Europe &amp; Central Asia")</f>
        <v>Europe &amp; Central Asia</v>
      </c>
      <c r="N390" s="5" t="str">
        <f>IFERROR(__xludf.DUMMYFUNCTION("""COMPUTED_VALUE"""),"Western Europe and Others")</f>
        <v>Western Europe and Others</v>
      </c>
      <c r="O390" s="5" t="str">
        <f>IFERROR(__xludf.DUMMYFUNCTION("""COMPUTED_VALUE"""),"developed")</f>
        <v>developed</v>
      </c>
      <c r="P390" s="5"/>
      <c r="Q390" s="5"/>
    </row>
    <row r="391">
      <c r="A391" s="5" t="str">
        <f>IFERROR(__xludf.DUMMYFUNCTION("""COMPUTED_VALUE"""),"Outbound")</f>
        <v>Outbound</v>
      </c>
      <c r="B391" s="5">
        <f>IFERROR(__xludf.DUMMYFUNCTION("""COMPUTED_VALUE"""),669.0)</f>
        <v>669</v>
      </c>
      <c r="C391" s="5" t="str">
        <f>IFERROR(__xludf.DUMMYFUNCTION("""COMPUTED_VALUE"""),"AMIRA HANA (WFP)")</f>
        <v>AMIRA HANA (WFP)</v>
      </c>
      <c r="D391" s="5">
        <f>IFERROR(__xludf.DUMMYFUNCTION("""COMPUTED_VALUE"""),9672210.0)</f>
        <v>9672210</v>
      </c>
      <c r="E391" s="5" t="str">
        <f>IFERROR(__xludf.DUMMYFUNCTION("""COMPUTED_VALUE"""),"Chornomorsk")</f>
        <v>Chornomorsk</v>
      </c>
      <c r="F391" s="5" t="str">
        <f>IFERROR(__xludf.DUMMYFUNCTION("""COMPUTED_VALUE"""),"Ethiopia")</f>
        <v>Ethiopia</v>
      </c>
      <c r="G391" s="5" t="str">
        <f>IFERROR(__xludf.DUMMYFUNCTION("""COMPUTED_VALUE"""),"Wheat")</f>
        <v>Wheat</v>
      </c>
      <c r="H391" s="6">
        <f>IFERROR(__xludf.DUMMYFUNCTION("""COMPUTED_VALUE"""),30000.0)</f>
        <v>30000</v>
      </c>
      <c r="I391" s="7">
        <f>IFERROR(__xludf.DUMMYFUNCTION("""COMPUTED_VALUE"""),44948.0)</f>
        <v>44948</v>
      </c>
      <c r="J391" s="7">
        <f>IFERROR(__xludf.DUMMYFUNCTION("""COMPUTED_VALUE"""),44958.0)</f>
        <v>44958</v>
      </c>
      <c r="K391" s="5" t="str">
        <f>IFERROR(__xludf.DUMMYFUNCTION("""COMPUTED_VALUE"""),"low-income")</f>
        <v>low-income</v>
      </c>
      <c r="L391" s="5" t="str">
        <f>IFERROR(__xludf.DUMMYFUNCTION("""COMPUTED_VALUE"""),"Panama")</f>
        <v>Panama</v>
      </c>
      <c r="M391" s="5" t="str">
        <f>IFERROR(__xludf.DUMMYFUNCTION("""COMPUTED_VALUE"""),"Sub-Saharan Africa")</f>
        <v>Sub-Saharan Africa</v>
      </c>
      <c r="N391" s="5" t="str">
        <f>IFERROR(__xludf.DUMMYFUNCTION("""COMPUTED_VALUE"""),"Africa")</f>
        <v>Africa</v>
      </c>
      <c r="O391" s="5" t="str">
        <f>IFERROR(__xludf.DUMMYFUNCTION("""COMPUTED_VALUE"""),"developing")</f>
        <v>developing</v>
      </c>
      <c r="P391" s="5" t="str">
        <f>IFERROR(__xludf.DUMMYFUNCTION("""COMPUTED_VALUE"""),"WFP")</f>
        <v>WFP</v>
      </c>
      <c r="Q391" s="5"/>
    </row>
    <row r="392">
      <c r="A392" s="5" t="str">
        <f>IFERROR(__xludf.DUMMYFUNCTION("""COMPUTED_VALUE"""),"Outbound")</f>
        <v>Outbound</v>
      </c>
      <c r="B392" s="5">
        <f>IFERROR(__xludf.DUMMYFUNCTION("""COMPUTED_VALUE"""),668.0)</f>
        <v>668</v>
      </c>
      <c r="C392" s="5" t="str">
        <f>IFERROR(__xludf.DUMMYFUNCTION("""COMPUTED_VALUE"""),"EVRIALI")</f>
        <v>EVRIALI</v>
      </c>
      <c r="D392" s="5">
        <f>IFERROR(__xludf.DUMMYFUNCTION("""COMPUTED_VALUE"""),9405435.0)</f>
        <v>9405435</v>
      </c>
      <c r="E392" s="5" t="str">
        <f>IFERROR(__xludf.DUMMYFUNCTION("""COMPUTED_VALUE"""),"Chornomorsk")</f>
        <v>Chornomorsk</v>
      </c>
      <c r="F392" s="5" t="str">
        <f>IFERROR(__xludf.DUMMYFUNCTION("""COMPUTED_VALUE"""),"Belgium")</f>
        <v>Belgium</v>
      </c>
      <c r="G392" s="5" t="str">
        <f>IFERROR(__xludf.DUMMYFUNCTION("""COMPUTED_VALUE"""),"Rapeseed")</f>
        <v>Rapeseed</v>
      </c>
      <c r="H392" s="6">
        <f>IFERROR(__xludf.DUMMYFUNCTION("""COMPUTED_VALUE"""),45000.0)</f>
        <v>45000</v>
      </c>
      <c r="I392" s="7">
        <f>IFERROR(__xludf.DUMMYFUNCTION("""COMPUTED_VALUE"""),44947.0)</f>
        <v>44947</v>
      </c>
      <c r="J392" s="7">
        <f>IFERROR(__xludf.DUMMYFUNCTION("""COMPUTED_VALUE"""),44956.0)</f>
        <v>44956</v>
      </c>
      <c r="K392" s="5" t="str">
        <f>IFERROR(__xludf.DUMMYFUNCTION("""COMPUTED_VALUE"""),"high-income")</f>
        <v>high-income</v>
      </c>
      <c r="L392" s="5" t="str">
        <f>IFERROR(__xludf.DUMMYFUNCTION("""COMPUTED_VALUE"""),"Liberia")</f>
        <v>Liberia</v>
      </c>
      <c r="M392" s="5" t="str">
        <f>IFERROR(__xludf.DUMMYFUNCTION("""COMPUTED_VALUE"""),"Europe &amp; Central Asia")</f>
        <v>Europe &amp; Central Asia</v>
      </c>
      <c r="N392" s="5" t="str">
        <f>IFERROR(__xludf.DUMMYFUNCTION("""COMPUTED_VALUE"""),"Western Europe and Others")</f>
        <v>Western Europe and Others</v>
      </c>
      <c r="O392" s="5" t="str">
        <f>IFERROR(__xludf.DUMMYFUNCTION("""COMPUTED_VALUE"""),"developed")</f>
        <v>developed</v>
      </c>
      <c r="P392" s="5"/>
      <c r="Q392" s="5"/>
    </row>
    <row r="393">
      <c r="A393" s="5" t="str">
        <f>IFERROR(__xludf.DUMMYFUNCTION("""COMPUTED_VALUE"""),"Outbound")</f>
        <v>Outbound</v>
      </c>
      <c r="B393" s="5">
        <f>IFERROR(__xludf.DUMMYFUNCTION("""COMPUTED_VALUE"""),667.0)</f>
        <v>667</v>
      </c>
      <c r="C393" s="5" t="str">
        <f>IFERROR(__xludf.DUMMYFUNCTION("""COMPUTED_VALUE"""),"ZHENG YAO")</f>
        <v>ZHENG YAO</v>
      </c>
      <c r="D393" s="5">
        <f>IFERROR(__xludf.DUMMYFUNCTION("""COMPUTED_VALUE"""),9601883.0)</f>
        <v>9601883</v>
      </c>
      <c r="E393" s="5" t="str">
        <f>IFERROR(__xludf.DUMMYFUNCTION("""COMPUTED_VALUE"""),"Odesa")</f>
        <v>Odesa</v>
      </c>
      <c r="F393" s="5" t="str">
        <f>IFERROR(__xludf.DUMMYFUNCTION("""COMPUTED_VALUE"""),"Spain")</f>
        <v>Spain</v>
      </c>
      <c r="G393" s="5" t="str">
        <f>IFERROR(__xludf.DUMMYFUNCTION("""COMPUTED_VALUE"""),"Corn")</f>
        <v>Corn</v>
      </c>
      <c r="H393" s="6">
        <f>IFERROR(__xludf.DUMMYFUNCTION("""COMPUTED_VALUE"""),29300.0)</f>
        <v>29300</v>
      </c>
      <c r="I393" s="7">
        <f>IFERROR(__xludf.DUMMYFUNCTION("""COMPUTED_VALUE"""),44946.0)</f>
        <v>44946</v>
      </c>
      <c r="J393" s="7">
        <f>IFERROR(__xludf.DUMMYFUNCTION("""COMPUTED_VALUE"""),44955.0)</f>
        <v>44955</v>
      </c>
      <c r="K393" s="5" t="str">
        <f>IFERROR(__xludf.DUMMYFUNCTION("""COMPUTED_VALUE"""),"high-income")</f>
        <v>high-income</v>
      </c>
      <c r="L393" s="5" t="str">
        <f>IFERROR(__xludf.DUMMYFUNCTION("""COMPUTED_VALUE"""),"Panama")</f>
        <v>Panama</v>
      </c>
      <c r="M393" s="5" t="str">
        <f>IFERROR(__xludf.DUMMYFUNCTION("""COMPUTED_VALUE"""),"Europe &amp; Central Asia")</f>
        <v>Europe &amp; Central Asia</v>
      </c>
      <c r="N393" s="5" t="str">
        <f>IFERROR(__xludf.DUMMYFUNCTION("""COMPUTED_VALUE"""),"Western Europe and Others")</f>
        <v>Western Europe and Others</v>
      </c>
      <c r="O393" s="5" t="str">
        <f>IFERROR(__xludf.DUMMYFUNCTION("""COMPUTED_VALUE"""),"developed")</f>
        <v>developed</v>
      </c>
      <c r="P393" s="5"/>
      <c r="Q393" s="5"/>
    </row>
    <row r="394">
      <c r="A394" s="5" t="str">
        <f>IFERROR(__xludf.DUMMYFUNCTION("""COMPUTED_VALUE"""),"Outbound +")</f>
        <v>Outbound +</v>
      </c>
      <c r="B394" s="5">
        <f>IFERROR(__xludf.DUMMYFUNCTION("""COMPUTED_VALUE"""),667.0)</f>
        <v>667</v>
      </c>
      <c r="C394" s="5" t="str">
        <f>IFERROR(__xludf.DUMMYFUNCTION("""COMPUTED_VALUE"""),"ZHENG YAO")</f>
        <v>ZHENG YAO</v>
      </c>
      <c r="D394" s="5">
        <f>IFERROR(__xludf.DUMMYFUNCTION("""COMPUTED_VALUE"""),9601883.0)</f>
        <v>9601883</v>
      </c>
      <c r="E394" s="5" t="str">
        <f>IFERROR(__xludf.DUMMYFUNCTION("""COMPUTED_VALUE"""),"Odesa")</f>
        <v>Odesa</v>
      </c>
      <c r="F394" s="5" t="str">
        <f>IFERROR(__xludf.DUMMYFUNCTION("""COMPUTED_VALUE"""),"Spain")</f>
        <v>Spain</v>
      </c>
      <c r="G394" s="5" t="str">
        <f>IFERROR(__xludf.DUMMYFUNCTION("""COMPUTED_VALUE"""),"Wheat")</f>
        <v>Wheat</v>
      </c>
      <c r="H394" s="6">
        <f>IFERROR(__xludf.DUMMYFUNCTION("""COMPUTED_VALUE"""),9400.0)</f>
        <v>9400</v>
      </c>
      <c r="I394" s="7">
        <f>IFERROR(__xludf.DUMMYFUNCTION("""COMPUTED_VALUE"""),44946.0)</f>
        <v>44946</v>
      </c>
      <c r="J394" s="7">
        <f>IFERROR(__xludf.DUMMYFUNCTION("""COMPUTED_VALUE"""),44955.0)</f>
        <v>44955</v>
      </c>
      <c r="K394" s="5" t="str">
        <f>IFERROR(__xludf.DUMMYFUNCTION("""COMPUTED_VALUE"""),"high-income")</f>
        <v>high-income</v>
      </c>
      <c r="L394" s="5" t="str">
        <f>IFERROR(__xludf.DUMMYFUNCTION("""COMPUTED_VALUE"""),"Panama")</f>
        <v>Panama</v>
      </c>
      <c r="M394" s="5" t="str">
        <f>IFERROR(__xludf.DUMMYFUNCTION("""COMPUTED_VALUE"""),"Europe &amp; Central Asia")</f>
        <v>Europe &amp; Central Asia</v>
      </c>
      <c r="N394" s="5" t="str">
        <f>IFERROR(__xludf.DUMMYFUNCTION("""COMPUTED_VALUE"""),"Western Europe and Others")</f>
        <v>Western Europe and Others</v>
      </c>
      <c r="O394" s="5" t="str">
        <f>IFERROR(__xludf.DUMMYFUNCTION("""COMPUTED_VALUE"""),"developed")</f>
        <v>developed</v>
      </c>
      <c r="P394" s="5"/>
      <c r="Q394" s="5"/>
    </row>
    <row r="395">
      <c r="A395" s="5" t="str">
        <f>IFERROR(__xludf.DUMMYFUNCTION("""COMPUTED_VALUE"""),"Outbound +")</f>
        <v>Outbound +</v>
      </c>
      <c r="B395" s="5">
        <f>IFERROR(__xludf.DUMMYFUNCTION("""COMPUTED_VALUE"""),667.0)</f>
        <v>667</v>
      </c>
      <c r="C395" s="5" t="str">
        <f>IFERROR(__xludf.DUMMYFUNCTION("""COMPUTED_VALUE"""),"ZHENG YAO")</f>
        <v>ZHENG YAO</v>
      </c>
      <c r="D395" s="5">
        <f>IFERROR(__xludf.DUMMYFUNCTION("""COMPUTED_VALUE"""),9601883.0)</f>
        <v>9601883</v>
      </c>
      <c r="E395" s="5" t="str">
        <f>IFERROR(__xludf.DUMMYFUNCTION("""COMPUTED_VALUE"""),"Odesa")</f>
        <v>Odesa</v>
      </c>
      <c r="F395" s="5" t="str">
        <f>IFERROR(__xludf.DUMMYFUNCTION("""COMPUTED_VALUE"""),"Spain")</f>
        <v>Spain</v>
      </c>
      <c r="G395" s="5" t="str">
        <f>IFERROR(__xludf.DUMMYFUNCTION("""COMPUTED_VALUE"""),"Barley")</f>
        <v>Barley</v>
      </c>
      <c r="H395" s="6">
        <f>IFERROR(__xludf.DUMMYFUNCTION("""COMPUTED_VALUE"""),27800.0)</f>
        <v>27800</v>
      </c>
      <c r="I395" s="7">
        <f>IFERROR(__xludf.DUMMYFUNCTION("""COMPUTED_VALUE"""),44946.0)</f>
        <v>44946</v>
      </c>
      <c r="J395" s="7">
        <f>IFERROR(__xludf.DUMMYFUNCTION("""COMPUTED_VALUE"""),44955.0)</f>
        <v>44955</v>
      </c>
      <c r="K395" s="5" t="str">
        <f>IFERROR(__xludf.DUMMYFUNCTION("""COMPUTED_VALUE"""),"high-income")</f>
        <v>high-income</v>
      </c>
      <c r="L395" s="5" t="str">
        <f>IFERROR(__xludf.DUMMYFUNCTION("""COMPUTED_VALUE"""),"Panama")</f>
        <v>Panama</v>
      </c>
      <c r="M395" s="5" t="str">
        <f>IFERROR(__xludf.DUMMYFUNCTION("""COMPUTED_VALUE"""),"Europe &amp; Central Asia")</f>
        <v>Europe &amp; Central Asia</v>
      </c>
      <c r="N395" s="5" t="str">
        <f>IFERROR(__xludf.DUMMYFUNCTION("""COMPUTED_VALUE"""),"Western Europe and Others")</f>
        <v>Western Europe and Others</v>
      </c>
      <c r="O395" s="5" t="str">
        <f>IFERROR(__xludf.DUMMYFUNCTION("""COMPUTED_VALUE"""),"developed")</f>
        <v>developed</v>
      </c>
      <c r="P395" s="5"/>
      <c r="Q395" s="5"/>
    </row>
    <row r="396">
      <c r="A396" s="5" t="str">
        <f>IFERROR(__xludf.DUMMYFUNCTION("""COMPUTED_VALUE"""),"Outbound")</f>
        <v>Outbound</v>
      </c>
      <c r="B396" s="5">
        <f>IFERROR(__xludf.DUMMYFUNCTION("""COMPUTED_VALUE"""),666.0)</f>
        <v>666</v>
      </c>
      <c r="C396" s="5" t="str">
        <f>IFERROR(__xludf.DUMMYFUNCTION("""COMPUTED_VALUE"""),"MRC SEDEF")</f>
        <v>MRC SEDEF</v>
      </c>
      <c r="D396" s="5">
        <f>IFERROR(__xludf.DUMMYFUNCTION("""COMPUTED_VALUE"""),9335032.0)</f>
        <v>9335032</v>
      </c>
      <c r="E396" s="5" t="str">
        <f>IFERROR(__xludf.DUMMYFUNCTION("""COMPUTED_VALUE"""),"Chornomorsk")</f>
        <v>Chornomorsk</v>
      </c>
      <c r="F396" s="5" t="str">
        <f>IFERROR(__xludf.DUMMYFUNCTION("""COMPUTED_VALUE"""),"India")</f>
        <v>India</v>
      </c>
      <c r="G396" s="5" t="str">
        <f>IFERROR(__xludf.DUMMYFUNCTION("""COMPUTED_VALUE"""),"Sunflower oil")</f>
        <v>Sunflower oil</v>
      </c>
      <c r="H396" s="6">
        <f>IFERROR(__xludf.DUMMYFUNCTION("""COMPUTED_VALUE"""),43000.0)</f>
        <v>43000</v>
      </c>
      <c r="I396" s="7">
        <f>IFERROR(__xludf.DUMMYFUNCTION("""COMPUTED_VALUE"""),44946.0)</f>
        <v>44946</v>
      </c>
      <c r="J396" s="7">
        <f>IFERROR(__xludf.DUMMYFUNCTION("""COMPUTED_VALUE"""),44957.0)</f>
        <v>44957</v>
      </c>
      <c r="K396" s="5" t="str">
        <f>IFERROR(__xludf.DUMMYFUNCTION("""COMPUTED_VALUE"""),"lower-middle income")</f>
        <v>lower-middle income</v>
      </c>
      <c r="L396" s="5" t="str">
        <f>IFERROR(__xludf.DUMMYFUNCTION("""COMPUTED_VALUE"""),"Malta")</f>
        <v>Malta</v>
      </c>
      <c r="M396" s="5" t="str">
        <f>IFERROR(__xludf.DUMMYFUNCTION("""COMPUTED_VALUE"""),"South Asia")</f>
        <v>South Asia</v>
      </c>
      <c r="N396" s="5" t="str">
        <f>IFERROR(__xludf.DUMMYFUNCTION("""COMPUTED_VALUE"""),"Asia-Pacific")</f>
        <v>Asia-Pacific</v>
      </c>
      <c r="O396" s="5" t="str">
        <f>IFERROR(__xludf.DUMMYFUNCTION("""COMPUTED_VALUE"""),"developing")</f>
        <v>developing</v>
      </c>
      <c r="P396" s="5"/>
      <c r="Q396" s="5"/>
    </row>
    <row r="397">
      <c r="A397" s="5" t="str">
        <f>IFERROR(__xludf.DUMMYFUNCTION("""COMPUTED_VALUE"""),"Outbound")</f>
        <v>Outbound</v>
      </c>
      <c r="B397" s="5">
        <f>IFERROR(__xludf.DUMMYFUNCTION("""COMPUTED_VALUE"""),665.0)</f>
        <v>665</v>
      </c>
      <c r="C397" s="5" t="str">
        <f>IFERROR(__xludf.DUMMYFUNCTION("""COMPUTED_VALUE"""),"AVIVA")</f>
        <v>AVIVA</v>
      </c>
      <c r="D397" s="5">
        <f>IFERROR(__xludf.DUMMYFUNCTION("""COMPUTED_VALUE"""),9410131.0)</f>
        <v>9410131</v>
      </c>
      <c r="E397" s="5" t="str">
        <f>IFERROR(__xludf.DUMMYFUNCTION("""COMPUTED_VALUE"""),"Yuzhny/Pivdennyi")</f>
        <v>Yuzhny/Pivdennyi</v>
      </c>
      <c r="F397" s="5" t="str">
        <f>IFERROR(__xludf.DUMMYFUNCTION("""COMPUTED_VALUE"""),"China")</f>
        <v>China</v>
      </c>
      <c r="G397" s="5" t="str">
        <f>IFERROR(__xludf.DUMMYFUNCTION("""COMPUTED_VALUE"""),"Sunflower oil")</f>
        <v>Sunflower oil</v>
      </c>
      <c r="H397" s="6">
        <f>IFERROR(__xludf.DUMMYFUNCTION("""COMPUTED_VALUE"""),19100.0)</f>
        <v>19100</v>
      </c>
      <c r="I397" s="7">
        <f>IFERROR(__xludf.DUMMYFUNCTION("""COMPUTED_VALUE"""),44946.0)</f>
        <v>44946</v>
      </c>
      <c r="J397" s="7">
        <f>IFERROR(__xludf.DUMMYFUNCTION("""COMPUTED_VALUE"""),44954.0)</f>
        <v>44954</v>
      </c>
      <c r="K397" s="5" t="str">
        <f>IFERROR(__xludf.DUMMYFUNCTION("""COMPUTED_VALUE"""),"upper-middle-income")</f>
        <v>upper-middle-income</v>
      </c>
      <c r="L397" s="5" t="str">
        <f>IFERROR(__xludf.DUMMYFUNCTION("""COMPUTED_VALUE"""),"Marshall Islands")</f>
        <v>Marshall Islands</v>
      </c>
      <c r="M397" s="5" t="str">
        <f>IFERROR(__xludf.DUMMYFUNCTION("""COMPUTED_VALUE"""),"East Asia &amp; Pacific")</f>
        <v>East Asia &amp; Pacific</v>
      </c>
      <c r="N397" s="5" t="str">
        <f>IFERROR(__xludf.DUMMYFUNCTION("""COMPUTED_VALUE"""),"Asia-Pacific")</f>
        <v>Asia-Pacific</v>
      </c>
      <c r="O397" s="5" t="str">
        <f>IFERROR(__xludf.DUMMYFUNCTION("""COMPUTED_VALUE"""),"developing")</f>
        <v>developing</v>
      </c>
      <c r="P397" s="5"/>
      <c r="Q397" s="5"/>
    </row>
    <row r="398">
      <c r="A398" s="5" t="str">
        <f>IFERROR(__xludf.DUMMYFUNCTION("""COMPUTED_VALUE"""),"Outbound")</f>
        <v>Outbound</v>
      </c>
      <c r="B398" s="5">
        <f>IFERROR(__xludf.DUMMYFUNCTION("""COMPUTED_VALUE"""),664.0)</f>
        <v>664</v>
      </c>
      <c r="C398" s="5" t="str">
        <f>IFERROR(__xludf.DUMMYFUNCTION("""COMPUTED_VALUE"""),"STAR SAPPHIRE")</f>
        <v>STAR SAPPHIRE</v>
      </c>
      <c r="D398" s="5">
        <f>IFERROR(__xludf.DUMMYFUNCTION("""COMPUTED_VALUE"""),9860037.0)</f>
        <v>9860037</v>
      </c>
      <c r="E398" s="5" t="str">
        <f>IFERROR(__xludf.DUMMYFUNCTION("""COMPUTED_VALUE"""),"Yuzhny/Pivdennyi")</f>
        <v>Yuzhny/Pivdennyi</v>
      </c>
      <c r="F398" s="5" t="str">
        <f>IFERROR(__xludf.DUMMYFUNCTION("""COMPUTED_VALUE"""),"Spain")</f>
        <v>Spain</v>
      </c>
      <c r="G398" s="5" t="str">
        <f>IFERROR(__xludf.DUMMYFUNCTION("""COMPUTED_VALUE"""),"Wheat")</f>
        <v>Wheat</v>
      </c>
      <c r="H398" s="6">
        <f>IFERROR(__xludf.DUMMYFUNCTION("""COMPUTED_VALUE"""),74904.0)</f>
        <v>74904</v>
      </c>
      <c r="I398" s="7">
        <f>IFERROR(__xludf.DUMMYFUNCTION("""COMPUTED_VALUE"""),44945.0)</f>
        <v>44945</v>
      </c>
      <c r="J398" s="7">
        <f>IFERROR(__xludf.DUMMYFUNCTION("""COMPUTED_VALUE"""),44955.0)</f>
        <v>44955</v>
      </c>
      <c r="K398" s="5" t="str">
        <f>IFERROR(__xludf.DUMMYFUNCTION("""COMPUTED_VALUE"""),"high-income")</f>
        <v>high-income</v>
      </c>
      <c r="L398" s="5" t="str">
        <f>IFERROR(__xludf.DUMMYFUNCTION("""COMPUTED_VALUE"""),"Marshall Islands")</f>
        <v>Marshall Islands</v>
      </c>
      <c r="M398" s="5" t="str">
        <f>IFERROR(__xludf.DUMMYFUNCTION("""COMPUTED_VALUE"""),"Europe &amp; Central Asia")</f>
        <v>Europe &amp; Central Asia</v>
      </c>
      <c r="N398" s="5" t="str">
        <f>IFERROR(__xludf.DUMMYFUNCTION("""COMPUTED_VALUE"""),"Western Europe and Others")</f>
        <v>Western Europe and Others</v>
      </c>
      <c r="O398" s="5" t="str">
        <f>IFERROR(__xludf.DUMMYFUNCTION("""COMPUTED_VALUE"""),"developed")</f>
        <v>developed</v>
      </c>
      <c r="P398" s="5"/>
      <c r="Q398" s="5"/>
    </row>
    <row r="399">
      <c r="A399" s="5" t="str">
        <f>IFERROR(__xludf.DUMMYFUNCTION("""COMPUTED_VALUE"""),"Outbound")</f>
        <v>Outbound</v>
      </c>
      <c r="B399" s="5">
        <f>IFERROR(__xludf.DUMMYFUNCTION("""COMPUTED_VALUE"""),663.0)</f>
        <v>663</v>
      </c>
      <c r="C399" s="5" t="str">
        <f>IFERROR(__xludf.DUMMYFUNCTION("""COMPUTED_VALUE"""),"SERENITY IBTIHAJ")</f>
        <v>SERENITY IBTIHAJ</v>
      </c>
      <c r="D399" s="5">
        <f>IFERROR(__xludf.DUMMYFUNCTION("""COMPUTED_VALUE"""),9364849.0)</f>
        <v>9364849</v>
      </c>
      <c r="E399" s="5" t="str">
        <f>IFERROR(__xludf.DUMMYFUNCTION("""COMPUTED_VALUE"""),"Chornomorsk")</f>
        <v>Chornomorsk</v>
      </c>
      <c r="F399" s="5" t="str">
        <f>IFERROR(__xludf.DUMMYFUNCTION("""COMPUTED_VALUE"""),"Spain")</f>
        <v>Spain</v>
      </c>
      <c r="G399" s="5" t="str">
        <f>IFERROR(__xludf.DUMMYFUNCTION("""COMPUTED_VALUE"""),"Corn")</f>
        <v>Corn</v>
      </c>
      <c r="H399" s="6">
        <f>IFERROR(__xludf.DUMMYFUNCTION("""COMPUTED_VALUE"""),26653.0)</f>
        <v>26653</v>
      </c>
      <c r="I399" s="7">
        <f>IFERROR(__xludf.DUMMYFUNCTION("""COMPUTED_VALUE"""),44945.0)</f>
        <v>44945</v>
      </c>
      <c r="J399" s="7">
        <f>IFERROR(__xludf.DUMMYFUNCTION("""COMPUTED_VALUE"""),44956.0)</f>
        <v>44956</v>
      </c>
      <c r="K399" s="5" t="str">
        <f>IFERROR(__xludf.DUMMYFUNCTION("""COMPUTED_VALUE"""),"high-income")</f>
        <v>high-income</v>
      </c>
      <c r="L399" s="5" t="str">
        <f>IFERROR(__xludf.DUMMYFUNCTION("""COMPUTED_VALUE"""),"Marshall Islands")</f>
        <v>Marshall Islands</v>
      </c>
      <c r="M399" s="5" t="str">
        <f>IFERROR(__xludf.DUMMYFUNCTION("""COMPUTED_VALUE"""),"Europe &amp; Central Asia")</f>
        <v>Europe &amp; Central Asia</v>
      </c>
      <c r="N399" s="5" t="str">
        <f>IFERROR(__xludf.DUMMYFUNCTION("""COMPUTED_VALUE"""),"Western Europe and Others")</f>
        <v>Western Europe and Others</v>
      </c>
      <c r="O399" s="5" t="str">
        <f>IFERROR(__xludf.DUMMYFUNCTION("""COMPUTED_VALUE"""),"developed")</f>
        <v>developed</v>
      </c>
      <c r="P399" s="5"/>
      <c r="Q399" s="5"/>
    </row>
    <row r="400">
      <c r="A400" s="5" t="str">
        <f>IFERROR(__xludf.DUMMYFUNCTION("""COMPUTED_VALUE"""),"Outbound")</f>
        <v>Outbound</v>
      </c>
      <c r="B400" s="5">
        <f>IFERROR(__xludf.DUMMYFUNCTION("""COMPUTED_VALUE"""),662.0)</f>
        <v>662</v>
      </c>
      <c r="C400" s="5" t="str">
        <f>IFERROR(__xludf.DUMMYFUNCTION("""COMPUTED_VALUE"""),"MANA")</f>
        <v>MANA</v>
      </c>
      <c r="D400" s="5">
        <f>IFERROR(__xludf.DUMMYFUNCTION("""COMPUTED_VALUE"""),9748849.0)</f>
        <v>9748849</v>
      </c>
      <c r="E400" s="5" t="str">
        <f>IFERROR(__xludf.DUMMYFUNCTION("""COMPUTED_VALUE"""),"Yuzhny/Pivdennyi")</f>
        <v>Yuzhny/Pivdennyi</v>
      </c>
      <c r="F400" s="5" t="str">
        <f>IFERROR(__xludf.DUMMYFUNCTION("""COMPUTED_VALUE"""),"Spain")</f>
        <v>Spain</v>
      </c>
      <c r="G400" s="5" t="str">
        <f>IFERROR(__xludf.DUMMYFUNCTION("""COMPUTED_VALUE"""),"Wheat")</f>
        <v>Wheat</v>
      </c>
      <c r="H400" s="6">
        <f>IFERROR(__xludf.DUMMYFUNCTION("""COMPUTED_VALUE"""),47267.0)</f>
        <v>47267</v>
      </c>
      <c r="I400" s="7">
        <f>IFERROR(__xludf.DUMMYFUNCTION("""COMPUTED_VALUE"""),44945.0)</f>
        <v>44945</v>
      </c>
      <c r="J400" s="7">
        <f>IFERROR(__xludf.DUMMYFUNCTION("""COMPUTED_VALUE"""),44954.0)</f>
        <v>44954</v>
      </c>
      <c r="K400" s="5" t="str">
        <f>IFERROR(__xludf.DUMMYFUNCTION("""COMPUTED_VALUE"""),"high-income")</f>
        <v>high-income</v>
      </c>
      <c r="L400" s="5" t="str">
        <f>IFERROR(__xludf.DUMMYFUNCTION("""COMPUTED_VALUE"""),"Liberia")</f>
        <v>Liberia</v>
      </c>
      <c r="M400" s="5" t="str">
        <f>IFERROR(__xludf.DUMMYFUNCTION("""COMPUTED_VALUE"""),"Europe &amp; Central Asia")</f>
        <v>Europe &amp; Central Asia</v>
      </c>
      <c r="N400" s="5" t="str">
        <f>IFERROR(__xludf.DUMMYFUNCTION("""COMPUTED_VALUE"""),"Western Europe and Others")</f>
        <v>Western Europe and Others</v>
      </c>
      <c r="O400" s="5" t="str">
        <f>IFERROR(__xludf.DUMMYFUNCTION("""COMPUTED_VALUE"""),"developed")</f>
        <v>developed</v>
      </c>
      <c r="P400" s="5"/>
      <c r="Q400" s="5"/>
    </row>
    <row r="401">
      <c r="A401" s="5" t="str">
        <f>IFERROR(__xludf.DUMMYFUNCTION("""COMPUTED_VALUE"""),"Outbound +")</f>
        <v>Outbound +</v>
      </c>
      <c r="B401" s="5">
        <f>IFERROR(__xludf.DUMMYFUNCTION("""COMPUTED_VALUE"""),662.0)</f>
        <v>662</v>
      </c>
      <c r="C401" s="5" t="str">
        <f>IFERROR(__xludf.DUMMYFUNCTION("""COMPUTED_VALUE"""),"MANA")</f>
        <v>MANA</v>
      </c>
      <c r="D401" s="5">
        <f>IFERROR(__xludf.DUMMYFUNCTION("""COMPUTED_VALUE"""),9748849.0)</f>
        <v>9748849</v>
      </c>
      <c r="E401" s="5" t="str">
        <f>IFERROR(__xludf.DUMMYFUNCTION("""COMPUTED_VALUE"""),"Yuzhny/Pivdennyi")</f>
        <v>Yuzhny/Pivdennyi</v>
      </c>
      <c r="F401" s="5" t="str">
        <f>IFERROR(__xludf.DUMMYFUNCTION("""COMPUTED_VALUE"""),"Spain")</f>
        <v>Spain</v>
      </c>
      <c r="G401" s="5" t="str">
        <f>IFERROR(__xludf.DUMMYFUNCTION("""COMPUTED_VALUE"""),"Corn")</f>
        <v>Corn</v>
      </c>
      <c r="H401" s="6">
        <f>IFERROR(__xludf.DUMMYFUNCTION("""COMPUTED_VALUE"""),11420.0)</f>
        <v>11420</v>
      </c>
      <c r="I401" s="7">
        <f>IFERROR(__xludf.DUMMYFUNCTION("""COMPUTED_VALUE"""),44945.0)</f>
        <v>44945</v>
      </c>
      <c r="J401" s="7">
        <f>IFERROR(__xludf.DUMMYFUNCTION("""COMPUTED_VALUE"""),44954.0)</f>
        <v>44954</v>
      </c>
      <c r="K401" s="5" t="str">
        <f>IFERROR(__xludf.DUMMYFUNCTION("""COMPUTED_VALUE"""),"high-income")</f>
        <v>high-income</v>
      </c>
      <c r="L401" s="5" t="str">
        <f>IFERROR(__xludf.DUMMYFUNCTION("""COMPUTED_VALUE"""),"Liberia")</f>
        <v>Liberia</v>
      </c>
      <c r="M401" s="5" t="str">
        <f>IFERROR(__xludf.DUMMYFUNCTION("""COMPUTED_VALUE"""),"Europe &amp; Central Asia")</f>
        <v>Europe &amp; Central Asia</v>
      </c>
      <c r="N401" s="5" t="str">
        <f>IFERROR(__xludf.DUMMYFUNCTION("""COMPUTED_VALUE"""),"Western Europe and Others")</f>
        <v>Western Europe and Others</v>
      </c>
      <c r="O401" s="5" t="str">
        <f>IFERROR(__xludf.DUMMYFUNCTION("""COMPUTED_VALUE"""),"developed")</f>
        <v>developed</v>
      </c>
      <c r="P401" s="5"/>
      <c r="Q401" s="5"/>
    </row>
    <row r="402">
      <c r="A402" s="5" t="str">
        <f>IFERROR(__xludf.DUMMYFUNCTION("""COMPUTED_VALUE"""),"Outbound")</f>
        <v>Outbound</v>
      </c>
      <c r="B402" s="5">
        <f>IFERROR(__xludf.DUMMYFUNCTION("""COMPUTED_VALUE"""),661.0)</f>
        <v>661</v>
      </c>
      <c r="C402" s="5" t="str">
        <f>IFERROR(__xludf.DUMMYFUNCTION("""COMPUTED_VALUE"""),"ANDROS SPIRIT")</f>
        <v>ANDROS SPIRIT</v>
      </c>
      <c r="D402" s="5">
        <f>IFERROR(__xludf.DUMMYFUNCTION("""COMPUTED_VALUE"""),9592537.0)</f>
        <v>9592537</v>
      </c>
      <c r="E402" s="5" t="str">
        <f>IFERROR(__xludf.DUMMYFUNCTION("""COMPUTED_VALUE"""),"Yuzhny/Pivdennyi")</f>
        <v>Yuzhny/Pivdennyi</v>
      </c>
      <c r="F402" s="5" t="str">
        <f>IFERROR(__xludf.DUMMYFUNCTION("""COMPUTED_VALUE"""),"China")</f>
        <v>China</v>
      </c>
      <c r="G402" s="5" t="str">
        <f>IFERROR(__xludf.DUMMYFUNCTION("""COMPUTED_VALUE"""),"Corn")</f>
        <v>Corn</v>
      </c>
      <c r="H402" s="6">
        <f>IFERROR(__xludf.DUMMYFUNCTION("""COMPUTED_VALUE"""),69505.0)</f>
        <v>69505</v>
      </c>
      <c r="I402" s="7">
        <f>IFERROR(__xludf.DUMMYFUNCTION("""COMPUTED_VALUE"""),44945.0)</f>
        <v>44945</v>
      </c>
      <c r="J402" s="7">
        <f>IFERROR(__xludf.DUMMYFUNCTION("""COMPUTED_VALUE"""),44954.0)</f>
        <v>44954</v>
      </c>
      <c r="K402" s="5" t="str">
        <f>IFERROR(__xludf.DUMMYFUNCTION("""COMPUTED_VALUE"""),"upper-middle-income")</f>
        <v>upper-middle-income</v>
      </c>
      <c r="L402" s="5" t="str">
        <f>IFERROR(__xludf.DUMMYFUNCTION("""COMPUTED_VALUE"""),"Marshall Islands")</f>
        <v>Marshall Islands</v>
      </c>
      <c r="M402" s="5" t="str">
        <f>IFERROR(__xludf.DUMMYFUNCTION("""COMPUTED_VALUE"""),"East Asia &amp; Pacific")</f>
        <v>East Asia &amp; Pacific</v>
      </c>
      <c r="N402" s="5" t="str">
        <f>IFERROR(__xludf.DUMMYFUNCTION("""COMPUTED_VALUE"""),"Asia-Pacific")</f>
        <v>Asia-Pacific</v>
      </c>
      <c r="O402" s="5" t="str">
        <f>IFERROR(__xludf.DUMMYFUNCTION("""COMPUTED_VALUE"""),"developing")</f>
        <v>developing</v>
      </c>
      <c r="P402" s="5"/>
      <c r="Q402" s="5"/>
    </row>
    <row r="403">
      <c r="A403" s="5" t="str">
        <f>IFERROR(__xludf.DUMMYFUNCTION("""COMPUTED_VALUE"""),"Outbound")</f>
        <v>Outbound</v>
      </c>
      <c r="B403" s="5">
        <f>IFERROR(__xludf.DUMMYFUNCTION("""COMPUTED_VALUE"""),660.0)</f>
        <v>660</v>
      </c>
      <c r="C403" s="5" t="str">
        <f>IFERROR(__xludf.DUMMYFUNCTION("""COMPUTED_VALUE"""),"GANOSAYA")</f>
        <v>GANOSAYA</v>
      </c>
      <c r="D403" s="5">
        <f>IFERROR(__xludf.DUMMYFUNCTION("""COMPUTED_VALUE"""),9151400.0)</f>
        <v>9151400</v>
      </c>
      <c r="E403" s="5" t="str">
        <f>IFERROR(__xludf.DUMMYFUNCTION("""COMPUTED_VALUE"""),"Odesa")</f>
        <v>Odesa</v>
      </c>
      <c r="F403" s="5" t="str">
        <f>IFERROR(__xludf.DUMMYFUNCTION("""COMPUTED_VALUE"""),"Libya")</f>
        <v>Libya</v>
      </c>
      <c r="G403" s="5" t="str">
        <f>IFERROR(__xludf.DUMMYFUNCTION("""COMPUTED_VALUE"""),"Corn")</f>
        <v>Corn</v>
      </c>
      <c r="H403" s="6">
        <f>IFERROR(__xludf.DUMMYFUNCTION("""COMPUTED_VALUE"""),16500.0)</f>
        <v>16500</v>
      </c>
      <c r="I403" s="7">
        <f>IFERROR(__xludf.DUMMYFUNCTION("""COMPUTED_VALUE"""),44944.0)</f>
        <v>44944</v>
      </c>
      <c r="J403" s="7">
        <f>IFERROR(__xludf.DUMMYFUNCTION("""COMPUTED_VALUE"""),44955.0)</f>
        <v>44955</v>
      </c>
      <c r="K403" s="5" t="str">
        <f>IFERROR(__xludf.DUMMYFUNCTION("""COMPUTED_VALUE"""),"upper-middle-income")</f>
        <v>upper-middle-income</v>
      </c>
      <c r="L403" s="5" t="str">
        <f>IFERROR(__xludf.DUMMYFUNCTION("""COMPUTED_VALUE"""),"Cook Islands")</f>
        <v>Cook Islands</v>
      </c>
      <c r="M403" s="5" t="str">
        <f>IFERROR(__xludf.DUMMYFUNCTION("""COMPUTED_VALUE"""),"Middle East &amp; North Africa")</f>
        <v>Middle East &amp; North Africa</v>
      </c>
      <c r="N403" s="5" t="str">
        <f>IFERROR(__xludf.DUMMYFUNCTION("""COMPUTED_VALUE"""),"Africa")</f>
        <v>Africa</v>
      </c>
      <c r="O403" s="5" t="str">
        <f>IFERROR(__xludf.DUMMYFUNCTION("""COMPUTED_VALUE"""),"developing")</f>
        <v>developing</v>
      </c>
      <c r="P403" s="5"/>
      <c r="Q403" s="5"/>
    </row>
    <row r="404">
      <c r="A404" s="5" t="str">
        <f>IFERROR(__xludf.DUMMYFUNCTION("""COMPUTED_VALUE"""),"Outbound")</f>
        <v>Outbound</v>
      </c>
      <c r="B404" s="5">
        <f>IFERROR(__xludf.DUMMYFUNCTION("""COMPUTED_VALUE"""),659.0)</f>
        <v>659</v>
      </c>
      <c r="C404" s="5" t="str">
        <f>IFERROR(__xludf.DUMMYFUNCTION("""COMPUTED_VALUE"""),"ER NAZIRE")</f>
        <v>ER NAZIRE</v>
      </c>
      <c r="D404" s="5">
        <f>IFERROR(__xludf.DUMMYFUNCTION("""COMPUTED_VALUE"""),9578543.0)</f>
        <v>9578543</v>
      </c>
      <c r="E404" s="5" t="str">
        <f>IFERROR(__xludf.DUMMYFUNCTION("""COMPUTED_VALUE"""),"Odesa")</f>
        <v>Odesa</v>
      </c>
      <c r="F404" s="5" t="str">
        <f>IFERROR(__xludf.DUMMYFUNCTION("""COMPUTED_VALUE"""),"Germany")</f>
        <v>Germany</v>
      </c>
      <c r="G404" s="5" t="str">
        <f>IFERROR(__xludf.DUMMYFUNCTION("""COMPUTED_VALUE"""),"Rapeseed")</f>
        <v>Rapeseed</v>
      </c>
      <c r="H404" s="6">
        <f>IFERROR(__xludf.DUMMYFUNCTION("""COMPUTED_VALUE"""),47700.0)</f>
        <v>47700</v>
      </c>
      <c r="I404" s="7">
        <f>IFERROR(__xludf.DUMMYFUNCTION("""COMPUTED_VALUE"""),44944.0)</f>
        <v>44944</v>
      </c>
      <c r="J404" s="7">
        <f>IFERROR(__xludf.DUMMYFUNCTION("""COMPUTED_VALUE"""),44952.0)</f>
        <v>44952</v>
      </c>
      <c r="K404" s="5" t="str">
        <f>IFERROR(__xludf.DUMMYFUNCTION("""COMPUTED_VALUE"""),"high-income")</f>
        <v>high-income</v>
      </c>
      <c r="L404" s="5" t="str">
        <f>IFERROR(__xludf.DUMMYFUNCTION("""COMPUTED_VALUE"""),"Liberia")</f>
        <v>Liberia</v>
      </c>
      <c r="M404" s="5" t="str">
        <f>IFERROR(__xludf.DUMMYFUNCTION("""COMPUTED_VALUE"""),"Europe &amp; Central Asia")</f>
        <v>Europe &amp; Central Asia</v>
      </c>
      <c r="N404" s="5" t="str">
        <f>IFERROR(__xludf.DUMMYFUNCTION("""COMPUTED_VALUE"""),"Western Europe and Others")</f>
        <v>Western Europe and Others</v>
      </c>
      <c r="O404" s="5" t="str">
        <f>IFERROR(__xludf.DUMMYFUNCTION("""COMPUTED_VALUE"""),"developed")</f>
        <v>developed</v>
      </c>
      <c r="P404" s="5"/>
      <c r="Q404" s="5"/>
    </row>
    <row r="405">
      <c r="A405" s="5" t="str">
        <f>IFERROR(__xludf.DUMMYFUNCTION("""COMPUTED_VALUE"""),"Outbound")</f>
        <v>Outbound</v>
      </c>
      <c r="B405" s="5">
        <f>IFERROR(__xludf.DUMMYFUNCTION("""COMPUTED_VALUE"""),658.0)</f>
        <v>658</v>
      </c>
      <c r="C405" s="5" t="str">
        <f>IFERROR(__xludf.DUMMYFUNCTION("""COMPUTED_VALUE"""),"NAVIOS HELIOS")</f>
        <v>NAVIOS HELIOS</v>
      </c>
      <c r="D405" s="5">
        <f>IFERROR(__xludf.DUMMYFUNCTION("""COMPUTED_VALUE"""),9330317.0)</f>
        <v>9330317</v>
      </c>
      <c r="E405" s="5" t="str">
        <f>IFERROR(__xludf.DUMMYFUNCTION("""COMPUTED_VALUE"""),"Odesa")</f>
        <v>Odesa</v>
      </c>
      <c r="F405" s="5" t="str">
        <f>IFERROR(__xludf.DUMMYFUNCTION("""COMPUTED_VALUE"""),"China")</f>
        <v>China</v>
      </c>
      <c r="G405" s="5" t="str">
        <f>IFERROR(__xludf.DUMMYFUNCTION("""COMPUTED_VALUE"""),"Corn")</f>
        <v>Corn</v>
      </c>
      <c r="H405" s="6">
        <f>IFERROR(__xludf.DUMMYFUNCTION("""COMPUTED_VALUE"""),67000.0)</f>
        <v>67000</v>
      </c>
      <c r="I405" s="7">
        <f>IFERROR(__xludf.DUMMYFUNCTION("""COMPUTED_VALUE"""),44943.0)</f>
        <v>44943</v>
      </c>
      <c r="J405" s="7">
        <f>IFERROR(__xludf.DUMMYFUNCTION("""COMPUTED_VALUE"""),44952.0)</f>
        <v>44952</v>
      </c>
      <c r="K405" s="5" t="str">
        <f>IFERROR(__xludf.DUMMYFUNCTION("""COMPUTED_VALUE"""),"upper-middle-income")</f>
        <v>upper-middle-income</v>
      </c>
      <c r="L405" s="5" t="str">
        <f>IFERROR(__xludf.DUMMYFUNCTION("""COMPUTED_VALUE"""),"Panama")</f>
        <v>Panama</v>
      </c>
      <c r="M405" s="5" t="str">
        <f>IFERROR(__xludf.DUMMYFUNCTION("""COMPUTED_VALUE"""),"East Asia &amp; Pacific")</f>
        <v>East Asia &amp; Pacific</v>
      </c>
      <c r="N405" s="5" t="str">
        <f>IFERROR(__xludf.DUMMYFUNCTION("""COMPUTED_VALUE"""),"Asia-Pacific")</f>
        <v>Asia-Pacific</v>
      </c>
      <c r="O405" s="5" t="str">
        <f>IFERROR(__xludf.DUMMYFUNCTION("""COMPUTED_VALUE"""),"developing")</f>
        <v>developing</v>
      </c>
      <c r="P405" s="5"/>
      <c r="Q405" s="5"/>
    </row>
    <row r="406">
      <c r="A406" s="5" t="str">
        <f>IFERROR(__xludf.DUMMYFUNCTION("""COMPUTED_VALUE"""),"Outbound")</f>
        <v>Outbound</v>
      </c>
      <c r="B406" s="5">
        <f>IFERROR(__xludf.DUMMYFUNCTION("""COMPUTED_VALUE"""),657.0)</f>
        <v>657</v>
      </c>
      <c r="C406" s="5" t="str">
        <f>IFERROR(__xludf.DUMMYFUNCTION("""COMPUTED_VALUE"""),"KESTREL S")</f>
        <v>KESTREL S</v>
      </c>
      <c r="D406" s="5">
        <f>IFERROR(__xludf.DUMMYFUNCTION("""COMPUTED_VALUE"""),9489211.0)</f>
        <v>9489211</v>
      </c>
      <c r="E406" s="5" t="str">
        <f>IFERROR(__xludf.DUMMYFUNCTION("""COMPUTED_VALUE"""),"Odesa")</f>
        <v>Odesa</v>
      </c>
      <c r="F406" s="5" t="str">
        <f>IFERROR(__xludf.DUMMYFUNCTION("""COMPUTED_VALUE"""),"Türkiye")</f>
        <v>Türkiye</v>
      </c>
      <c r="G406" s="5" t="str">
        <f>IFERROR(__xludf.DUMMYFUNCTION("""COMPUTED_VALUE"""),"Wheat")</f>
        <v>Wheat</v>
      </c>
      <c r="H406" s="6">
        <f>IFERROR(__xludf.DUMMYFUNCTION("""COMPUTED_VALUE"""),26500.0)</f>
        <v>26500</v>
      </c>
      <c r="I406" s="7">
        <f>IFERROR(__xludf.DUMMYFUNCTION("""COMPUTED_VALUE"""),44943.0)</f>
        <v>44943</v>
      </c>
      <c r="J406" s="7">
        <f>IFERROR(__xludf.DUMMYFUNCTION("""COMPUTED_VALUE"""),44949.0)</f>
        <v>44949</v>
      </c>
      <c r="K406" s="5" t="str">
        <f>IFERROR(__xludf.DUMMYFUNCTION("""COMPUTED_VALUE"""),"upper-middle-income")</f>
        <v>upper-middle-income</v>
      </c>
      <c r="L406" s="5" t="str">
        <f>IFERROR(__xludf.DUMMYFUNCTION("""COMPUTED_VALUE"""),"Liberia")</f>
        <v>Liberia</v>
      </c>
      <c r="M406" s="5" t="str">
        <f>IFERROR(__xludf.DUMMYFUNCTION("""COMPUTED_VALUE"""),"Europe &amp; Central Asia")</f>
        <v>Europe &amp; Central Asia</v>
      </c>
      <c r="N406" s="5" t="str">
        <f>IFERROR(__xludf.DUMMYFUNCTION("""COMPUTED_VALUE"""),"Asia-Pacific")</f>
        <v>Asia-Pacific</v>
      </c>
      <c r="O406" s="5" t="str">
        <f>IFERROR(__xludf.DUMMYFUNCTION("""COMPUTED_VALUE"""),"developing")</f>
        <v>developing</v>
      </c>
      <c r="P406" s="5"/>
      <c r="Q406" s="5"/>
    </row>
    <row r="407">
      <c r="A407" s="5" t="str">
        <f>IFERROR(__xludf.DUMMYFUNCTION("""COMPUTED_VALUE"""),"Outbound")</f>
        <v>Outbound</v>
      </c>
      <c r="B407" s="5">
        <f>IFERROR(__xludf.DUMMYFUNCTION("""COMPUTED_VALUE"""),656.0)</f>
        <v>656</v>
      </c>
      <c r="C407" s="5" t="str">
        <f>IFERROR(__xludf.DUMMYFUNCTION("""COMPUTED_VALUE"""),"GREAT ARSENAL")</f>
        <v>GREAT ARSENAL</v>
      </c>
      <c r="D407" s="5">
        <f>IFERROR(__xludf.DUMMYFUNCTION("""COMPUTED_VALUE"""),9159062.0)</f>
        <v>9159062</v>
      </c>
      <c r="E407" s="5" t="str">
        <f>IFERROR(__xludf.DUMMYFUNCTION("""COMPUTED_VALUE"""),"Odesa")</f>
        <v>Odesa</v>
      </c>
      <c r="F407" s="5" t="str">
        <f>IFERROR(__xludf.DUMMYFUNCTION("""COMPUTED_VALUE"""),"Türkiye")</f>
        <v>Türkiye</v>
      </c>
      <c r="G407" s="5" t="str">
        <f>IFERROR(__xludf.DUMMYFUNCTION("""COMPUTED_VALUE"""),"Wheat")</f>
        <v>Wheat</v>
      </c>
      <c r="H407" s="6">
        <f>IFERROR(__xludf.DUMMYFUNCTION("""COMPUTED_VALUE"""),25500.0)</f>
        <v>25500</v>
      </c>
      <c r="I407" s="7">
        <f>IFERROR(__xludf.DUMMYFUNCTION("""COMPUTED_VALUE"""),44943.0)</f>
        <v>44943</v>
      </c>
      <c r="J407" s="7">
        <f>IFERROR(__xludf.DUMMYFUNCTION("""COMPUTED_VALUE"""),44952.0)</f>
        <v>44952</v>
      </c>
      <c r="K407" s="5" t="str">
        <f>IFERROR(__xludf.DUMMYFUNCTION("""COMPUTED_VALUE"""),"upper-middle-income")</f>
        <v>upper-middle-income</v>
      </c>
      <c r="L407" s="5" t="str">
        <f>IFERROR(__xludf.DUMMYFUNCTION("""COMPUTED_VALUE"""),"St. Vincent and the Grenadines")</f>
        <v>St. Vincent and the Grenadines</v>
      </c>
      <c r="M407" s="5" t="str">
        <f>IFERROR(__xludf.DUMMYFUNCTION("""COMPUTED_VALUE"""),"Europe &amp; Central Asia")</f>
        <v>Europe &amp; Central Asia</v>
      </c>
      <c r="N407" s="5" t="str">
        <f>IFERROR(__xludf.DUMMYFUNCTION("""COMPUTED_VALUE"""),"Asia-Pacific")</f>
        <v>Asia-Pacific</v>
      </c>
      <c r="O407" s="5" t="str">
        <f>IFERROR(__xludf.DUMMYFUNCTION("""COMPUTED_VALUE"""),"developing")</f>
        <v>developing</v>
      </c>
      <c r="P407" s="5"/>
      <c r="Q407" s="5"/>
    </row>
    <row r="408">
      <c r="A408" s="5" t="str">
        <f>IFERROR(__xludf.DUMMYFUNCTION("""COMPUTED_VALUE"""),"Outbound")</f>
        <v>Outbound</v>
      </c>
      <c r="B408" s="5">
        <f>IFERROR(__xludf.DUMMYFUNCTION("""COMPUTED_VALUE"""),655.0)</f>
        <v>655</v>
      </c>
      <c r="C408" s="5" t="str">
        <f>IFERROR(__xludf.DUMMYFUNCTION("""COMPUTED_VALUE"""),"REACHY SUMMER")</f>
        <v>REACHY SUMMER</v>
      </c>
      <c r="D408" s="5">
        <f>IFERROR(__xludf.DUMMYFUNCTION("""COMPUTED_VALUE"""),9458755.0)</f>
        <v>9458755</v>
      </c>
      <c r="E408" s="5" t="str">
        <f>IFERROR(__xludf.DUMMYFUNCTION("""COMPUTED_VALUE"""),"Chornomorsk")</f>
        <v>Chornomorsk</v>
      </c>
      <c r="F408" s="5" t="str">
        <f>IFERROR(__xludf.DUMMYFUNCTION("""COMPUTED_VALUE"""),"China")</f>
        <v>China</v>
      </c>
      <c r="G408" s="5" t="str">
        <f>IFERROR(__xludf.DUMMYFUNCTION("""COMPUTED_VALUE"""),"Corn")</f>
        <v>Corn</v>
      </c>
      <c r="H408" s="6">
        <f>IFERROR(__xludf.DUMMYFUNCTION("""COMPUTED_VALUE"""),71500.0)</f>
        <v>71500</v>
      </c>
      <c r="I408" s="7">
        <f>IFERROR(__xludf.DUMMYFUNCTION("""COMPUTED_VALUE"""),44942.0)</f>
        <v>44942</v>
      </c>
      <c r="J408" s="7">
        <f>IFERROR(__xludf.DUMMYFUNCTION("""COMPUTED_VALUE"""),44964.0)</f>
        <v>44964</v>
      </c>
      <c r="K408" s="5" t="str">
        <f>IFERROR(__xludf.DUMMYFUNCTION("""COMPUTED_VALUE"""),"upper-middle-income")</f>
        <v>upper-middle-income</v>
      </c>
      <c r="L408" s="5" t="str">
        <f>IFERROR(__xludf.DUMMYFUNCTION("""COMPUTED_VALUE"""),"Marshall Islands")</f>
        <v>Marshall Islands</v>
      </c>
      <c r="M408" s="5" t="str">
        <f>IFERROR(__xludf.DUMMYFUNCTION("""COMPUTED_VALUE"""),"East Asia &amp; Pacific")</f>
        <v>East Asia &amp; Pacific</v>
      </c>
      <c r="N408" s="5" t="str">
        <f>IFERROR(__xludf.DUMMYFUNCTION("""COMPUTED_VALUE"""),"Asia-Pacific")</f>
        <v>Asia-Pacific</v>
      </c>
      <c r="O408" s="5" t="str">
        <f>IFERROR(__xludf.DUMMYFUNCTION("""COMPUTED_VALUE"""),"developing")</f>
        <v>developing</v>
      </c>
      <c r="P408" s="5"/>
      <c r="Q408" s="5"/>
    </row>
    <row r="409">
      <c r="A409" s="5" t="str">
        <f>IFERROR(__xludf.DUMMYFUNCTION("""COMPUTED_VALUE"""),"Outbound")</f>
        <v>Outbound</v>
      </c>
      <c r="B409" s="5">
        <f>IFERROR(__xludf.DUMMYFUNCTION("""COMPUTED_VALUE"""),654.0)</f>
        <v>654</v>
      </c>
      <c r="C409" s="5" t="str">
        <f>IFERROR(__xludf.DUMMYFUNCTION("""COMPUTED_VALUE"""),"KING LAN")</f>
        <v>KING LAN</v>
      </c>
      <c r="D409" s="5">
        <f>IFERROR(__xludf.DUMMYFUNCTION("""COMPUTED_VALUE"""),9216406.0)</f>
        <v>9216406</v>
      </c>
      <c r="E409" s="5" t="str">
        <f>IFERROR(__xludf.DUMMYFUNCTION("""COMPUTED_VALUE"""),"Chornomorsk")</f>
        <v>Chornomorsk</v>
      </c>
      <c r="F409" s="5" t="str">
        <f>IFERROR(__xludf.DUMMYFUNCTION("""COMPUTED_VALUE"""),"China")</f>
        <v>China</v>
      </c>
      <c r="G409" s="5" t="str">
        <f>IFERROR(__xludf.DUMMYFUNCTION("""COMPUTED_VALUE"""),"Corn")</f>
        <v>Corn</v>
      </c>
      <c r="H409" s="6">
        <f>IFERROR(__xludf.DUMMYFUNCTION("""COMPUTED_VALUE"""),56148.0)</f>
        <v>56148</v>
      </c>
      <c r="I409" s="7">
        <f>IFERROR(__xludf.DUMMYFUNCTION("""COMPUTED_VALUE"""),44942.0)</f>
        <v>44942</v>
      </c>
      <c r="J409" s="7">
        <f>IFERROR(__xludf.DUMMYFUNCTION("""COMPUTED_VALUE"""),44952.0)</f>
        <v>44952</v>
      </c>
      <c r="K409" s="5" t="str">
        <f>IFERROR(__xludf.DUMMYFUNCTION("""COMPUTED_VALUE"""),"upper-middle-income")</f>
        <v>upper-middle-income</v>
      </c>
      <c r="L409" s="5" t="str">
        <f>IFERROR(__xludf.DUMMYFUNCTION("""COMPUTED_VALUE"""),"Panama")</f>
        <v>Panama</v>
      </c>
      <c r="M409" s="5" t="str">
        <f>IFERROR(__xludf.DUMMYFUNCTION("""COMPUTED_VALUE"""),"East Asia &amp; Pacific")</f>
        <v>East Asia &amp; Pacific</v>
      </c>
      <c r="N409" s="5" t="str">
        <f>IFERROR(__xludf.DUMMYFUNCTION("""COMPUTED_VALUE"""),"Asia-Pacific")</f>
        <v>Asia-Pacific</v>
      </c>
      <c r="O409" s="5" t="str">
        <f>IFERROR(__xludf.DUMMYFUNCTION("""COMPUTED_VALUE"""),"developing")</f>
        <v>developing</v>
      </c>
      <c r="P409" s="5"/>
      <c r="Q409" s="5"/>
    </row>
    <row r="410">
      <c r="A410" s="5" t="str">
        <f>IFERROR(__xludf.DUMMYFUNCTION("""COMPUTED_VALUE"""),"Outbound +")</f>
        <v>Outbound +</v>
      </c>
      <c r="B410" s="5">
        <f>IFERROR(__xludf.DUMMYFUNCTION("""COMPUTED_VALUE"""),654.0)</f>
        <v>654</v>
      </c>
      <c r="C410" s="5" t="str">
        <f>IFERROR(__xludf.DUMMYFUNCTION("""COMPUTED_VALUE"""),"KING LAN")</f>
        <v>KING LAN</v>
      </c>
      <c r="D410" s="5">
        <f>IFERROR(__xludf.DUMMYFUNCTION("""COMPUTED_VALUE"""),9216406.0)</f>
        <v>9216406</v>
      </c>
      <c r="E410" s="5" t="str">
        <f>IFERROR(__xludf.DUMMYFUNCTION("""COMPUTED_VALUE"""),"Chornomorsk")</f>
        <v>Chornomorsk</v>
      </c>
      <c r="F410" s="5" t="str">
        <f>IFERROR(__xludf.DUMMYFUNCTION("""COMPUTED_VALUE"""),"China")</f>
        <v>China</v>
      </c>
      <c r="G410" s="5" t="str">
        <f>IFERROR(__xludf.DUMMYFUNCTION("""COMPUTED_VALUE"""),"Sunflower meal")</f>
        <v>Sunflower meal</v>
      </c>
      <c r="H410" s="6">
        <f>IFERROR(__xludf.DUMMYFUNCTION("""COMPUTED_VALUE"""),8077.0)</f>
        <v>8077</v>
      </c>
      <c r="I410" s="7">
        <f>IFERROR(__xludf.DUMMYFUNCTION("""COMPUTED_VALUE"""),44942.0)</f>
        <v>44942</v>
      </c>
      <c r="J410" s="7">
        <f>IFERROR(__xludf.DUMMYFUNCTION("""COMPUTED_VALUE"""),44952.0)</f>
        <v>44952</v>
      </c>
      <c r="K410" s="5" t="str">
        <f>IFERROR(__xludf.DUMMYFUNCTION("""COMPUTED_VALUE"""),"upper-middle-income")</f>
        <v>upper-middle-income</v>
      </c>
      <c r="L410" s="5" t="str">
        <f>IFERROR(__xludf.DUMMYFUNCTION("""COMPUTED_VALUE"""),"Panama")</f>
        <v>Panama</v>
      </c>
      <c r="M410" s="5" t="str">
        <f>IFERROR(__xludf.DUMMYFUNCTION("""COMPUTED_VALUE"""),"East Asia &amp; Pacific")</f>
        <v>East Asia &amp; Pacific</v>
      </c>
      <c r="N410" s="5" t="str">
        <f>IFERROR(__xludf.DUMMYFUNCTION("""COMPUTED_VALUE"""),"Asia-Pacific")</f>
        <v>Asia-Pacific</v>
      </c>
      <c r="O410" s="5" t="str">
        <f>IFERROR(__xludf.DUMMYFUNCTION("""COMPUTED_VALUE"""),"developing")</f>
        <v>developing</v>
      </c>
      <c r="P410" s="5"/>
      <c r="Q410" s="5"/>
    </row>
    <row r="411">
      <c r="A411" s="5" t="str">
        <f>IFERROR(__xludf.DUMMYFUNCTION("""COMPUTED_VALUE"""),"Outbound")</f>
        <v>Outbound</v>
      </c>
      <c r="B411" s="5">
        <f>IFERROR(__xludf.DUMMYFUNCTION("""COMPUTED_VALUE"""),653.0)</f>
        <v>653</v>
      </c>
      <c r="C411" s="5" t="str">
        <f>IFERROR(__xludf.DUMMYFUNCTION("""COMPUTED_VALUE"""),"ERICA")</f>
        <v>ERICA</v>
      </c>
      <c r="D411" s="5">
        <f>IFERROR(__xludf.DUMMYFUNCTION("""COMPUTED_VALUE"""),9261798.0)</f>
        <v>9261798</v>
      </c>
      <c r="E411" s="5" t="str">
        <f>IFERROR(__xludf.DUMMYFUNCTION("""COMPUTED_VALUE"""),"Yuzhny/Pivdennyi")</f>
        <v>Yuzhny/Pivdennyi</v>
      </c>
      <c r="F411" s="5" t="str">
        <f>IFERROR(__xludf.DUMMYFUNCTION("""COMPUTED_VALUE"""),"Spain")</f>
        <v>Spain</v>
      </c>
      <c r="G411" s="5" t="str">
        <f>IFERROR(__xludf.DUMMYFUNCTION("""COMPUTED_VALUE"""),"Wheat")</f>
        <v>Wheat</v>
      </c>
      <c r="H411" s="6">
        <f>IFERROR(__xludf.DUMMYFUNCTION("""COMPUTED_VALUE"""),21264.0)</f>
        <v>21264</v>
      </c>
      <c r="I411" s="7">
        <f>IFERROR(__xludf.DUMMYFUNCTION("""COMPUTED_VALUE"""),44942.0)</f>
        <v>44942</v>
      </c>
      <c r="J411" s="7">
        <f>IFERROR(__xludf.DUMMYFUNCTION("""COMPUTED_VALUE"""),44950.0)</f>
        <v>44950</v>
      </c>
      <c r="K411" s="5" t="str">
        <f>IFERROR(__xludf.DUMMYFUNCTION("""COMPUTED_VALUE"""),"high-income")</f>
        <v>high-income</v>
      </c>
      <c r="L411" s="5" t="str">
        <f>IFERROR(__xludf.DUMMYFUNCTION("""COMPUTED_VALUE"""),"Panama")</f>
        <v>Panama</v>
      </c>
      <c r="M411" s="5" t="str">
        <f>IFERROR(__xludf.DUMMYFUNCTION("""COMPUTED_VALUE"""),"Europe &amp; Central Asia")</f>
        <v>Europe &amp; Central Asia</v>
      </c>
      <c r="N411" s="5" t="str">
        <f>IFERROR(__xludf.DUMMYFUNCTION("""COMPUTED_VALUE"""),"Western Europe and Others")</f>
        <v>Western Europe and Others</v>
      </c>
      <c r="O411" s="5" t="str">
        <f>IFERROR(__xludf.DUMMYFUNCTION("""COMPUTED_VALUE"""),"developed")</f>
        <v>developed</v>
      </c>
      <c r="P411" s="5"/>
      <c r="Q411" s="5"/>
    </row>
    <row r="412">
      <c r="A412" s="5" t="str">
        <f>IFERROR(__xludf.DUMMYFUNCTION("""COMPUTED_VALUE"""),"Outbound +")</f>
        <v>Outbound +</v>
      </c>
      <c r="B412" s="5">
        <f>IFERROR(__xludf.DUMMYFUNCTION("""COMPUTED_VALUE"""),653.0)</f>
        <v>653</v>
      </c>
      <c r="C412" s="5" t="str">
        <f>IFERROR(__xludf.DUMMYFUNCTION("""COMPUTED_VALUE"""),"ERICA")</f>
        <v>ERICA</v>
      </c>
      <c r="D412" s="5">
        <f>IFERROR(__xludf.DUMMYFUNCTION("""COMPUTED_VALUE"""),9261798.0)</f>
        <v>9261798</v>
      </c>
      <c r="E412" s="5" t="str">
        <f>IFERROR(__xludf.DUMMYFUNCTION("""COMPUTED_VALUE"""),"Yuzhny/Pivdennyi")</f>
        <v>Yuzhny/Pivdennyi</v>
      </c>
      <c r="F412" s="5" t="str">
        <f>IFERROR(__xludf.DUMMYFUNCTION("""COMPUTED_VALUE"""),"Spain")</f>
        <v>Spain</v>
      </c>
      <c r="G412" s="5" t="str">
        <f>IFERROR(__xludf.DUMMYFUNCTION("""COMPUTED_VALUE"""),"Corn")</f>
        <v>Corn</v>
      </c>
      <c r="H412" s="6">
        <f>IFERROR(__xludf.DUMMYFUNCTION("""COMPUTED_VALUE"""),44836.0)</f>
        <v>44836</v>
      </c>
      <c r="I412" s="7">
        <f>IFERROR(__xludf.DUMMYFUNCTION("""COMPUTED_VALUE"""),44942.0)</f>
        <v>44942</v>
      </c>
      <c r="J412" s="7">
        <f>IFERROR(__xludf.DUMMYFUNCTION("""COMPUTED_VALUE"""),44950.0)</f>
        <v>44950</v>
      </c>
      <c r="K412" s="5" t="str">
        <f>IFERROR(__xludf.DUMMYFUNCTION("""COMPUTED_VALUE"""),"high-income")</f>
        <v>high-income</v>
      </c>
      <c r="L412" s="5" t="str">
        <f>IFERROR(__xludf.DUMMYFUNCTION("""COMPUTED_VALUE"""),"Panama")</f>
        <v>Panama</v>
      </c>
      <c r="M412" s="5" t="str">
        <f>IFERROR(__xludf.DUMMYFUNCTION("""COMPUTED_VALUE"""),"Europe &amp; Central Asia")</f>
        <v>Europe &amp; Central Asia</v>
      </c>
      <c r="N412" s="5" t="str">
        <f>IFERROR(__xludf.DUMMYFUNCTION("""COMPUTED_VALUE"""),"Western Europe and Others")</f>
        <v>Western Europe and Others</v>
      </c>
      <c r="O412" s="5" t="str">
        <f>IFERROR(__xludf.DUMMYFUNCTION("""COMPUTED_VALUE"""),"developed")</f>
        <v>developed</v>
      </c>
      <c r="P412" s="5"/>
      <c r="Q412" s="5"/>
    </row>
    <row r="413">
      <c r="A413" s="5" t="str">
        <f>IFERROR(__xludf.DUMMYFUNCTION("""COMPUTED_VALUE"""),"Outbound")</f>
        <v>Outbound</v>
      </c>
      <c r="B413" s="5">
        <f>IFERROR(__xludf.DUMMYFUNCTION("""COMPUTED_VALUE"""),652.0)</f>
        <v>652</v>
      </c>
      <c r="C413" s="5" t="str">
        <f>IFERROR(__xludf.DUMMYFUNCTION("""COMPUTED_VALUE"""),"TORC")</f>
        <v>TORC</v>
      </c>
      <c r="D413" s="5">
        <f>IFERROR(__xludf.DUMMYFUNCTION("""COMPUTED_VALUE"""),9544683.0)</f>
        <v>9544683</v>
      </c>
      <c r="E413" s="5" t="str">
        <f>IFERROR(__xludf.DUMMYFUNCTION("""COMPUTED_VALUE"""),"Yuzhny/Pivdennyi")</f>
        <v>Yuzhny/Pivdennyi</v>
      </c>
      <c r="F413" s="5" t="str">
        <f>IFERROR(__xludf.DUMMYFUNCTION("""COMPUTED_VALUE"""),"Türkiye")</f>
        <v>Türkiye</v>
      </c>
      <c r="G413" s="5" t="str">
        <f>IFERROR(__xludf.DUMMYFUNCTION("""COMPUTED_VALUE"""),"Sunflower oil")</f>
        <v>Sunflower oil</v>
      </c>
      <c r="H413" s="6">
        <f>IFERROR(__xludf.DUMMYFUNCTION("""COMPUTED_VALUE"""),12250.0)</f>
        <v>12250</v>
      </c>
      <c r="I413" s="7">
        <f>IFERROR(__xludf.DUMMYFUNCTION("""COMPUTED_VALUE"""),44941.0)</f>
        <v>44941</v>
      </c>
      <c r="J413" s="7">
        <f>IFERROR(__xludf.DUMMYFUNCTION("""COMPUTED_VALUE"""),44951.0)</f>
        <v>44951</v>
      </c>
      <c r="K413" s="5" t="str">
        <f>IFERROR(__xludf.DUMMYFUNCTION("""COMPUTED_VALUE"""),"upper-middle-income")</f>
        <v>upper-middle-income</v>
      </c>
      <c r="L413" s="5" t="str">
        <f>IFERROR(__xludf.DUMMYFUNCTION("""COMPUTED_VALUE"""),"Malta")</f>
        <v>Malta</v>
      </c>
      <c r="M413" s="5" t="str">
        <f>IFERROR(__xludf.DUMMYFUNCTION("""COMPUTED_VALUE"""),"Europe &amp; Central Asia")</f>
        <v>Europe &amp; Central Asia</v>
      </c>
      <c r="N413" s="5" t="str">
        <f>IFERROR(__xludf.DUMMYFUNCTION("""COMPUTED_VALUE"""),"Asia-Pacific")</f>
        <v>Asia-Pacific</v>
      </c>
      <c r="O413" s="5" t="str">
        <f>IFERROR(__xludf.DUMMYFUNCTION("""COMPUTED_VALUE"""),"developing")</f>
        <v>developing</v>
      </c>
      <c r="P413" s="5"/>
      <c r="Q413" s="5"/>
    </row>
    <row r="414">
      <c r="A414" s="5" t="str">
        <f>IFERROR(__xludf.DUMMYFUNCTION("""COMPUTED_VALUE"""),"Outbound")</f>
        <v>Outbound</v>
      </c>
      <c r="B414" s="5">
        <f>IFERROR(__xludf.DUMMYFUNCTION("""COMPUTED_VALUE"""),651.0)</f>
        <v>651</v>
      </c>
      <c r="C414" s="5" t="str">
        <f>IFERROR(__xludf.DUMMYFUNCTION("""COMPUTED_VALUE"""),"DYNAMIC M")</f>
        <v>DYNAMIC M</v>
      </c>
      <c r="D414" s="5">
        <f>IFERROR(__xludf.DUMMYFUNCTION("""COMPUTED_VALUE"""),9114610.0)</f>
        <v>9114610</v>
      </c>
      <c r="E414" s="5" t="str">
        <f>IFERROR(__xludf.DUMMYFUNCTION("""COMPUTED_VALUE"""),"Odesa")</f>
        <v>Odesa</v>
      </c>
      <c r="F414" s="5" t="str">
        <f>IFERROR(__xludf.DUMMYFUNCTION("""COMPUTED_VALUE"""),"Libya")</f>
        <v>Libya</v>
      </c>
      <c r="G414" s="5" t="str">
        <f>IFERROR(__xludf.DUMMYFUNCTION("""COMPUTED_VALUE"""),"Corn")</f>
        <v>Corn</v>
      </c>
      <c r="H414" s="6">
        <f>IFERROR(__xludf.DUMMYFUNCTION("""COMPUTED_VALUE"""),27500.0)</f>
        <v>27500</v>
      </c>
      <c r="I414" s="7">
        <f>IFERROR(__xludf.DUMMYFUNCTION("""COMPUTED_VALUE"""),44941.0)</f>
        <v>44941</v>
      </c>
      <c r="J414" s="7">
        <f>IFERROR(__xludf.DUMMYFUNCTION("""COMPUTED_VALUE"""),44954.0)</f>
        <v>44954</v>
      </c>
      <c r="K414" s="5" t="str">
        <f>IFERROR(__xludf.DUMMYFUNCTION("""COMPUTED_VALUE"""),"upper-middle-income")</f>
        <v>upper-middle-income</v>
      </c>
      <c r="L414" s="5" t="str">
        <f>IFERROR(__xludf.DUMMYFUNCTION("""COMPUTED_VALUE"""),"Belize")</f>
        <v>Belize</v>
      </c>
      <c r="M414" s="5" t="str">
        <f>IFERROR(__xludf.DUMMYFUNCTION("""COMPUTED_VALUE"""),"Middle East &amp; North Africa")</f>
        <v>Middle East &amp; North Africa</v>
      </c>
      <c r="N414" s="5" t="str">
        <f>IFERROR(__xludf.DUMMYFUNCTION("""COMPUTED_VALUE"""),"Africa")</f>
        <v>Africa</v>
      </c>
      <c r="O414" s="5" t="str">
        <f>IFERROR(__xludf.DUMMYFUNCTION("""COMPUTED_VALUE"""),"developing")</f>
        <v>developing</v>
      </c>
      <c r="P414" s="5"/>
      <c r="Q414" s="5"/>
    </row>
    <row r="415">
      <c r="A415" s="5" t="str">
        <f>IFERROR(__xludf.DUMMYFUNCTION("""COMPUTED_VALUE"""),"Outbound")</f>
        <v>Outbound</v>
      </c>
      <c r="B415" s="5">
        <f>IFERROR(__xludf.DUMMYFUNCTION("""COMPUTED_VALUE"""),650.0)</f>
        <v>650</v>
      </c>
      <c r="C415" s="5" t="str">
        <f>IFERROR(__xludf.DUMMYFUNCTION("""COMPUTED_VALUE"""),"ANTHEIA (WFP)")</f>
        <v>ANTHEIA (WFP)</v>
      </c>
      <c r="D415" s="5">
        <f>IFERROR(__xludf.DUMMYFUNCTION("""COMPUTED_VALUE"""),9473078.0)</f>
        <v>9473078</v>
      </c>
      <c r="E415" s="5" t="str">
        <f>IFERROR(__xludf.DUMMYFUNCTION("""COMPUTED_VALUE"""),"Chornomorsk")</f>
        <v>Chornomorsk</v>
      </c>
      <c r="F415" s="5" t="str">
        <f>IFERROR(__xludf.DUMMYFUNCTION("""COMPUTED_VALUE"""),"Afghanistan")</f>
        <v>Afghanistan</v>
      </c>
      <c r="G415" s="5" t="str">
        <f>IFERROR(__xludf.DUMMYFUNCTION("""COMPUTED_VALUE"""),"Wheat")</f>
        <v>Wheat</v>
      </c>
      <c r="H415" s="6">
        <f>IFERROR(__xludf.DUMMYFUNCTION("""COMPUTED_VALUE"""),15869.0)</f>
        <v>15869</v>
      </c>
      <c r="I415" s="7">
        <f>IFERROR(__xludf.DUMMYFUNCTION("""COMPUTED_VALUE"""),44941.0)</f>
        <v>44941</v>
      </c>
      <c r="J415" s="7">
        <f>IFERROR(__xludf.DUMMYFUNCTION("""COMPUTED_VALUE"""),44950.0)</f>
        <v>44950</v>
      </c>
      <c r="K415" s="5" t="str">
        <f>IFERROR(__xludf.DUMMYFUNCTION("""COMPUTED_VALUE"""),"low-income")</f>
        <v>low-income</v>
      </c>
      <c r="L415" s="5" t="str">
        <f>IFERROR(__xludf.DUMMYFUNCTION("""COMPUTED_VALUE"""),"Malta")</f>
        <v>Malta</v>
      </c>
      <c r="M415" s="5" t="str">
        <f>IFERROR(__xludf.DUMMYFUNCTION("""COMPUTED_VALUE"""),"South Asia")</f>
        <v>South Asia</v>
      </c>
      <c r="N415" s="5" t="str">
        <f>IFERROR(__xludf.DUMMYFUNCTION("""COMPUTED_VALUE"""),"Asia-Pacific")</f>
        <v>Asia-Pacific</v>
      </c>
      <c r="O415" s="5" t="str">
        <f>IFERROR(__xludf.DUMMYFUNCTION("""COMPUTED_VALUE"""),"developing")</f>
        <v>developing</v>
      </c>
      <c r="P415" s="5" t="str">
        <f>IFERROR(__xludf.DUMMYFUNCTION("""COMPUTED_VALUE"""),"WFP")</f>
        <v>WFP</v>
      </c>
      <c r="Q415" s="5"/>
    </row>
    <row r="416">
      <c r="A416" s="5" t="str">
        <f>IFERROR(__xludf.DUMMYFUNCTION("""COMPUTED_VALUE"""),"Outbound")</f>
        <v>Outbound</v>
      </c>
      <c r="B416" s="5">
        <f>IFERROR(__xludf.DUMMYFUNCTION("""COMPUTED_VALUE"""),649.0)</f>
        <v>649</v>
      </c>
      <c r="C416" s="5" t="str">
        <f>IFERROR(__xludf.DUMMYFUNCTION("""COMPUTED_VALUE"""),"DERG")</f>
        <v>DERG</v>
      </c>
      <c r="D416" s="5">
        <f>IFERROR(__xludf.DUMMYFUNCTION("""COMPUTED_VALUE"""),9393060.0)</f>
        <v>9393060</v>
      </c>
      <c r="E416" s="5" t="str">
        <f>IFERROR(__xludf.DUMMYFUNCTION("""COMPUTED_VALUE"""),"Yuzhny/Pivdennyi")</f>
        <v>Yuzhny/Pivdennyi</v>
      </c>
      <c r="F416" s="5" t="str">
        <f>IFERROR(__xludf.DUMMYFUNCTION("""COMPUTED_VALUE"""),"Türkiye")</f>
        <v>Türkiye</v>
      </c>
      <c r="G416" s="5" t="str">
        <f>IFERROR(__xludf.DUMMYFUNCTION("""COMPUTED_VALUE"""),"Sunflower oil")</f>
        <v>Sunflower oil</v>
      </c>
      <c r="H416" s="6">
        <f>IFERROR(__xludf.DUMMYFUNCTION("""COMPUTED_VALUE"""),6600.0)</f>
        <v>6600</v>
      </c>
      <c r="I416" s="7">
        <f>IFERROR(__xludf.DUMMYFUNCTION("""COMPUTED_VALUE"""),44940.0)</f>
        <v>44940</v>
      </c>
      <c r="J416" s="7">
        <f>IFERROR(__xludf.DUMMYFUNCTION("""COMPUTED_VALUE"""),44948.0)</f>
        <v>44948</v>
      </c>
      <c r="K416" s="5" t="str">
        <f>IFERROR(__xludf.DUMMYFUNCTION("""COMPUTED_VALUE"""),"upper-middle-income")</f>
        <v>upper-middle-income</v>
      </c>
      <c r="L416" s="5" t="str">
        <f>IFERROR(__xludf.DUMMYFUNCTION("""COMPUTED_VALUE"""),"Malta")</f>
        <v>Malta</v>
      </c>
      <c r="M416" s="5" t="str">
        <f>IFERROR(__xludf.DUMMYFUNCTION("""COMPUTED_VALUE"""),"Europe &amp; Central Asia")</f>
        <v>Europe &amp; Central Asia</v>
      </c>
      <c r="N416" s="5" t="str">
        <f>IFERROR(__xludf.DUMMYFUNCTION("""COMPUTED_VALUE"""),"Asia-Pacific")</f>
        <v>Asia-Pacific</v>
      </c>
      <c r="O416" s="5" t="str">
        <f>IFERROR(__xludf.DUMMYFUNCTION("""COMPUTED_VALUE"""),"developing")</f>
        <v>developing</v>
      </c>
      <c r="P416" s="5"/>
      <c r="Q416" s="5"/>
    </row>
    <row r="417">
      <c r="A417" s="5" t="str">
        <f>IFERROR(__xludf.DUMMYFUNCTION("""COMPUTED_VALUE"""),"Outbound")</f>
        <v>Outbound</v>
      </c>
      <c r="B417" s="5">
        <f>IFERROR(__xludf.DUMMYFUNCTION("""COMPUTED_VALUE"""),648.0)</f>
        <v>648</v>
      </c>
      <c r="C417" s="5" t="str">
        <f>IFERROR(__xludf.DUMMYFUNCTION("""COMPUTED_VALUE"""),"DEEP BLUE")</f>
        <v>DEEP BLUE</v>
      </c>
      <c r="D417" s="5">
        <f>IFERROR(__xludf.DUMMYFUNCTION("""COMPUTED_VALUE"""),9616723.0)</f>
        <v>9616723</v>
      </c>
      <c r="E417" s="5" t="str">
        <f>IFERROR(__xludf.DUMMYFUNCTION("""COMPUTED_VALUE"""),"Odesa")</f>
        <v>Odesa</v>
      </c>
      <c r="F417" s="5" t="str">
        <f>IFERROR(__xludf.DUMMYFUNCTION("""COMPUTED_VALUE"""),"Türkiye")</f>
        <v>Türkiye</v>
      </c>
      <c r="G417" s="5" t="str">
        <f>IFERROR(__xludf.DUMMYFUNCTION("""COMPUTED_VALUE"""),"Barley")</f>
        <v>Barley</v>
      </c>
      <c r="H417" s="6">
        <f>IFERROR(__xludf.DUMMYFUNCTION("""COMPUTED_VALUE"""),26250.0)</f>
        <v>26250</v>
      </c>
      <c r="I417" s="7">
        <f>IFERROR(__xludf.DUMMYFUNCTION("""COMPUTED_VALUE"""),44940.0)</f>
        <v>44940</v>
      </c>
      <c r="J417" s="7">
        <f>IFERROR(__xludf.DUMMYFUNCTION("""COMPUTED_VALUE"""),44949.0)</f>
        <v>44949</v>
      </c>
      <c r="K417" s="5" t="str">
        <f>IFERROR(__xludf.DUMMYFUNCTION("""COMPUTED_VALUE"""),"upper-middle-income")</f>
        <v>upper-middle-income</v>
      </c>
      <c r="L417" s="5" t="str">
        <f>IFERROR(__xludf.DUMMYFUNCTION("""COMPUTED_VALUE"""),"Marshall Islands")</f>
        <v>Marshall Islands</v>
      </c>
      <c r="M417" s="5" t="str">
        <f>IFERROR(__xludf.DUMMYFUNCTION("""COMPUTED_VALUE"""),"Europe &amp; Central Asia")</f>
        <v>Europe &amp; Central Asia</v>
      </c>
      <c r="N417" s="5" t="str">
        <f>IFERROR(__xludf.DUMMYFUNCTION("""COMPUTED_VALUE"""),"Asia-Pacific")</f>
        <v>Asia-Pacific</v>
      </c>
      <c r="O417" s="5" t="str">
        <f>IFERROR(__xludf.DUMMYFUNCTION("""COMPUTED_VALUE"""),"developing")</f>
        <v>developing</v>
      </c>
      <c r="P417" s="5"/>
      <c r="Q417" s="5"/>
    </row>
    <row r="418">
      <c r="A418" s="5" t="str">
        <f>IFERROR(__xludf.DUMMYFUNCTION("""COMPUTED_VALUE"""),"Outbound")</f>
        <v>Outbound</v>
      </c>
      <c r="B418" s="5">
        <f>IFERROR(__xludf.DUMMYFUNCTION("""COMPUTED_VALUE"""),647.0)</f>
        <v>647</v>
      </c>
      <c r="C418" s="5" t="str">
        <f>IFERROR(__xludf.DUMMYFUNCTION("""COMPUTED_VALUE"""),"UMIT G")</f>
        <v>UMIT G</v>
      </c>
      <c r="D418" s="5">
        <f>IFERROR(__xludf.DUMMYFUNCTION("""COMPUTED_VALUE"""),9041124.0)</f>
        <v>9041124</v>
      </c>
      <c r="E418" s="5" t="str">
        <f>IFERROR(__xludf.DUMMYFUNCTION("""COMPUTED_VALUE"""),"Yuzhny/Pivdennyi")</f>
        <v>Yuzhny/Pivdennyi</v>
      </c>
      <c r="F418" s="5" t="str">
        <f>IFERROR(__xludf.DUMMYFUNCTION("""COMPUTED_VALUE"""),"Greece")</f>
        <v>Greece</v>
      </c>
      <c r="G418" s="5" t="str">
        <f>IFERROR(__xludf.DUMMYFUNCTION("""COMPUTED_VALUE"""),"Wheat")</f>
        <v>Wheat</v>
      </c>
      <c r="H418" s="6">
        <f>IFERROR(__xludf.DUMMYFUNCTION("""COMPUTED_VALUE"""),4300.0)</f>
        <v>4300</v>
      </c>
      <c r="I418" s="7">
        <f>IFERROR(__xludf.DUMMYFUNCTION("""COMPUTED_VALUE"""),44939.0)</f>
        <v>44939</v>
      </c>
      <c r="J418" s="7">
        <f>IFERROR(__xludf.DUMMYFUNCTION("""COMPUTED_VALUE"""),44946.0)</f>
        <v>44946</v>
      </c>
      <c r="K418" s="5" t="str">
        <f>IFERROR(__xludf.DUMMYFUNCTION("""COMPUTED_VALUE"""),"high-income")</f>
        <v>high-income</v>
      </c>
      <c r="L418" s="5" t="str">
        <f>IFERROR(__xludf.DUMMYFUNCTION("""COMPUTED_VALUE"""),"Panama")</f>
        <v>Panama</v>
      </c>
      <c r="M418" s="5" t="str">
        <f>IFERROR(__xludf.DUMMYFUNCTION("""COMPUTED_VALUE"""),"Europe &amp; Central Asia")</f>
        <v>Europe &amp; Central Asia</v>
      </c>
      <c r="N418" s="5" t="str">
        <f>IFERROR(__xludf.DUMMYFUNCTION("""COMPUTED_VALUE"""),"Western Europe and Others")</f>
        <v>Western Europe and Others</v>
      </c>
      <c r="O418" s="5" t="str">
        <f>IFERROR(__xludf.DUMMYFUNCTION("""COMPUTED_VALUE"""),"developed")</f>
        <v>developed</v>
      </c>
      <c r="P418" s="5"/>
      <c r="Q418" s="5"/>
    </row>
    <row r="419">
      <c r="A419" s="5" t="str">
        <f>IFERROR(__xludf.DUMMYFUNCTION("""COMPUTED_VALUE"""),"Outbound")</f>
        <v>Outbound</v>
      </c>
      <c r="B419" s="5">
        <f>IFERROR(__xludf.DUMMYFUNCTION("""COMPUTED_VALUE"""),646.0)</f>
        <v>646</v>
      </c>
      <c r="C419" s="5" t="str">
        <f>IFERROR(__xludf.DUMMYFUNCTION("""COMPUTED_VALUE"""),"SOLAR")</f>
        <v>SOLAR</v>
      </c>
      <c r="D419" s="5">
        <f>IFERROR(__xludf.DUMMYFUNCTION("""COMPUTED_VALUE"""),9214848.0)</f>
        <v>9214848</v>
      </c>
      <c r="E419" s="5" t="str">
        <f>IFERROR(__xludf.DUMMYFUNCTION("""COMPUTED_VALUE"""),"Yuzhny/Pivdennyi")</f>
        <v>Yuzhny/Pivdennyi</v>
      </c>
      <c r="F419" s="5" t="str">
        <f>IFERROR(__xludf.DUMMYFUNCTION("""COMPUTED_VALUE"""),"Italy")</f>
        <v>Italy</v>
      </c>
      <c r="G419" s="5" t="str">
        <f>IFERROR(__xludf.DUMMYFUNCTION("""COMPUTED_VALUE"""),"Wheat")</f>
        <v>Wheat</v>
      </c>
      <c r="H419" s="6">
        <f>IFERROR(__xludf.DUMMYFUNCTION("""COMPUTED_VALUE"""),37205.0)</f>
        <v>37205</v>
      </c>
      <c r="I419" s="7">
        <f>IFERROR(__xludf.DUMMYFUNCTION("""COMPUTED_VALUE"""),44939.0)</f>
        <v>44939</v>
      </c>
      <c r="J419" s="7">
        <f>IFERROR(__xludf.DUMMYFUNCTION("""COMPUTED_VALUE"""),44955.0)</f>
        <v>44955</v>
      </c>
      <c r="K419" s="5" t="str">
        <f>IFERROR(__xludf.DUMMYFUNCTION("""COMPUTED_VALUE"""),"high-income")</f>
        <v>high-income</v>
      </c>
      <c r="L419" s="5" t="str">
        <f>IFERROR(__xludf.DUMMYFUNCTION("""COMPUTED_VALUE"""),"Marshall Islands")</f>
        <v>Marshall Islands</v>
      </c>
      <c r="M419" s="5" t="str">
        <f>IFERROR(__xludf.DUMMYFUNCTION("""COMPUTED_VALUE"""),"Europe &amp; Central Asia")</f>
        <v>Europe &amp; Central Asia</v>
      </c>
      <c r="N419" s="5" t="str">
        <f>IFERROR(__xludf.DUMMYFUNCTION("""COMPUTED_VALUE"""),"Western Europe and Others")</f>
        <v>Western Europe and Others</v>
      </c>
      <c r="O419" s="5" t="str">
        <f>IFERROR(__xludf.DUMMYFUNCTION("""COMPUTED_VALUE"""),"developed")</f>
        <v>developed</v>
      </c>
      <c r="P419" s="5"/>
      <c r="Q419" s="5"/>
    </row>
    <row r="420">
      <c r="A420" s="5" t="str">
        <f>IFERROR(__xludf.DUMMYFUNCTION("""COMPUTED_VALUE"""),"Outbound")</f>
        <v>Outbound</v>
      </c>
      <c r="B420" s="5">
        <f>IFERROR(__xludf.DUMMYFUNCTION("""COMPUTED_VALUE"""),645.0)</f>
        <v>645</v>
      </c>
      <c r="C420" s="5" t="str">
        <f>IFERROR(__xludf.DUMMYFUNCTION("""COMPUTED_VALUE"""),"RIO")</f>
        <v>RIO</v>
      </c>
      <c r="D420" s="5">
        <f>IFERROR(__xludf.DUMMYFUNCTION("""COMPUTED_VALUE"""),9039975.0)</f>
        <v>9039975</v>
      </c>
      <c r="E420" s="5" t="str">
        <f>IFERROR(__xludf.DUMMYFUNCTION("""COMPUTED_VALUE"""),"Chornomorsk")</f>
        <v>Chornomorsk</v>
      </c>
      <c r="F420" s="5" t="str">
        <f>IFERROR(__xludf.DUMMYFUNCTION("""COMPUTED_VALUE"""),"Greece")</f>
        <v>Greece</v>
      </c>
      <c r="G420" s="5" t="str">
        <f>IFERROR(__xludf.DUMMYFUNCTION("""COMPUTED_VALUE"""),"Wheat")</f>
        <v>Wheat</v>
      </c>
      <c r="H420" s="6">
        <f>IFERROR(__xludf.DUMMYFUNCTION("""COMPUTED_VALUE"""),8500.0)</f>
        <v>8500</v>
      </c>
      <c r="I420" s="7">
        <f>IFERROR(__xludf.DUMMYFUNCTION("""COMPUTED_VALUE"""),44939.0)</f>
        <v>44939</v>
      </c>
      <c r="J420" s="7">
        <f>IFERROR(__xludf.DUMMYFUNCTION("""COMPUTED_VALUE"""),44945.0)</f>
        <v>44945</v>
      </c>
      <c r="K420" s="5" t="str">
        <f>IFERROR(__xludf.DUMMYFUNCTION("""COMPUTED_VALUE"""),"high-income")</f>
        <v>high-income</v>
      </c>
      <c r="L420" s="5" t="str">
        <f>IFERROR(__xludf.DUMMYFUNCTION("""COMPUTED_VALUE"""),"Comoros")</f>
        <v>Comoros</v>
      </c>
      <c r="M420" s="5" t="str">
        <f>IFERROR(__xludf.DUMMYFUNCTION("""COMPUTED_VALUE"""),"Europe &amp; Central Asia")</f>
        <v>Europe &amp; Central Asia</v>
      </c>
      <c r="N420" s="5" t="str">
        <f>IFERROR(__xludf.DUMMYFUNCTION("""COMPUTED_VALUE"""),"Western Europe and Others")</f>
        <v>Western Europe and Others</v>
      </c>
      <c r="O420" s="5" t="str">
        <f>IFERROR(__xludf.DUMMYFUNCTION("""COMPUTED_VALUE"""),"developed")</f>
        <v>developed</v>
      </c>
      <c r="P420" s="5"/>
      <c r="Q420" s="5"/>
    </row>
    <row r="421">
      <c r="A421" s="5" t="str">
        <f>IFERROR(__xludf.DUMMYFUNCTION("""COMPUTED_VALUE"""),"Outbound")</f>
        <v>Outbound</v>
      </c>
      <c r="B421" s="5">
        <f>IFERROR(__xludf.DUMMYFUNCTION("""COMPUTED_VALUE"""),644.0)</f>
        <v>644</v>
      </c>
      <c r="C421" s="5" t="str">
        <f>IFERROR(__xludf.DUMMYFUNCTION("""COMPUTED_VALUE"""),"PAPUA")</f>
        <v>PAPUA</v>
      </c>
      <c r="D421" s="5">
        <f>IFERROR(__xludf.DUMMYFUNCTION("""COMPUTED_VALUE"""),9266906.0)</f>
        <v>9266906</v>
      </c>
      <c r="E421" s="5" t="str">
        <f>IFERROR(__xludf.DUMMYFUNCTION("""COMPUTED_VALUE"""),"Yuzhny/Pivdennyi")</f>
        <v>Yuzhny/Pivdennyi</v>
      </c>
      <c r="F421" s="5" t="str">
        <f>IFERROR(__xludf.DUMMYFUNCTION("""COMPUTED_VALUE"""),"The Netherlands")</f>
        <v>The Netherlands</v>
      </c>
      <c r="G421" s="5" t="str">
        <f>IFERROR(__xludf.DUMMYFUNCTION("""COMPUTED_VALUE"""),"Soya beans")</f>
        <v>Soya beans</v>
      </c>
      <c r="H421" s="6">
        <f>IFERROR(__xludf.DUMMYFUNCTION("""COMPUTED_VALUE"""),29300.0)</f>
        <v>29300</v>
      </c>
      <c r="I421" s="7">
        <f>IFERROR(__xludf.DUMMYFUNCTION("""COMPUTED_VALUE"""),44939.0)</f>
        <v>44939</v>
      </c>
      <c r="J421" s="7">
        <f>IFERROR(__xludf.DUMMYFUNCTION("""COMPUTED_VALUE"""),44951.0)</f>
        <v>44951</v>
      </c>
      <c r="K421" s="5" t="str">
        <f>IFERROR(__xludf.DUMMYFUNCTION("""COMPUTED_VALUE"""),"high-income")</f>
        <v>high-income</v>
      </c>
      <c r="L421" s="5" t="str">
        <f>IFERROR(__xludf.DUMMYFUNCTION("""COMPUTED_VALUE"""),"Cayman Islands")</f>
        <v>Cayman Islands</v>
      </c>
      <c r="M421" s="5" t="str">
        <f>IFERROR(__xludf.DUMMYFUNCTION("""COMPUTED_VALUE"""),"Europe &amp; Central Asia")</f>
        <v>Europe &amp; Central Asia</v>
      </c>
      <c r="N421" s="5" t="str">
        <f>IFERROR(__xludf.DUMMYFUNCTION("""COMPUTED_VALUE"""),"Western Europe and Others")</f>
        <v>Western Europe and Others</v>
      </c>
      <c r="O421" s="5" t="str">
        <f>IFERROR(__xludf.DUMMYFUNCTION("""COMPUTED_VALUE"""),"developed")</f>
        <v>developed</v>
      </c>
      <c r="P421" s="5"/>
      <c r="Q421" s="5"/>
    </row>
    <row r="422">
      <c r="A422" s="5" t="str">
        <f>IFERROR(__xludf.DUMMYFUNCTION("""COMPUTED_VALUE"""),"Outbound")</f>
        <v>Outbound</v>
      </c>
      <c r="B422" s="5">
        <f>IFERROR(__xludf.DUMMYFUNCTION("""COMPUTED_VALUE"""),643.0)</f>
        <v>643</v>
      </c>
      <c r="C422" s="5" t="str">
        <f>IFERROR(__xludf.DUMMYFUNCTION("""COMPUTED_VALUE"""),"NEW FAITH")</f>
        <v>NEW FAITH</v>
      </c>
      <c r="D422" s="5">
        <f>IFERROR(__xludf.DUMMYFUNCTION("""COMPUTED_VALUE"""),9191034.0)</f>
        <v>9191034</v>
      </c>
      <c r="E422" s="5" t="str">
        <f>IFERROR(__xludf.DUMMYFUNCTION("""COMPUTED_VALUE"""),"Odesa")</f>
        <v>Odesa</v>
      </c>
      <c r="F422" s="5" t="str">
        <f>IFERROR(__xludf.DUMMYFUNCTION("""COMPUTED_VALUE"""),"Spain")</f>
        <v>Spain</v>
      </c>
      <c r="G422" s="5" t="str">
        <f>IFERROR(__xludf.DUMMYFUNCTION("""COMPUTED_VALUE"""),"Corn")</f>
        <v>Corn</v>
      </c>
      <c r="H422" s="6">
        <f>IFERROR(__xludf.DUMMYFUNCTION("""COMPUTED_VALUE"""),26500.0)</f>
        <v>26500</v>
      </c>
      <c r="I422" s="7">
        <f>IFERROR(__xludf.DUMMYFUNCTION("""COMPUTED_VALUE"""),44939.0)</f>
        <v>44939</v>
      </c>
      <c r="J422" s="7">
        <f>IFERROR(__xludf.DUMMYFUNCTION("""COMPUTED_VALUE"""),44951.0)</f>
        <v>44951</v>
      </c>
      <c r="K422" s="5" t="str">
        <f>IFERROR(__xludf.DUMMYFUNCTION("""COMPUTED_VALUE"""),"high-income")</f>
        <v>high-income</v>
      </c>
      <c r="L422" s="5" t="str">
        <f>IFERROR(__xludf.DUMMYFUNCTION("""COMPUTED_VALUE"""),"Belize")</f>
        <v>Belize</v>
      </c>
      <c r="M422" s="5" t="str">
        <f>IFERROR(__xludf.DUMMYFUNCTION("""COMPUTED_VALUE"""),"Europe &amp; Central Asia")</f>
        <v>Europe &amp; Central Asia</v>
      </c>
      <c r="N422" s="5" t="str">
        <f>IFERROR(__xludf.DUMMYFUNCTION("""COMPUTED_VALUE"""),"Western Europe and Others")</f>
        <v>Western Europe and Others</v>
      </c>
      <c r="O422" s="5" t="str">
        <f>IFERROR(__xludf.DUMMYFUNCTION("""COMPUTED_VALUE"""),"developed")</f>
        <v>developed</v>
      </c>
      <c r="P422" s="5"/>
      <c r="Q422" s="5"/>
    </row>
    <row r="423">
      <c r="A423" s="5" t="str">
        <f>IFERROR(__xludf.DUMMYFUNCTION("""COMPUTED_VALUE"""),"Outbound")</f>
        <v>Outbound</v>
      </c>
      <c r="B423" s="5">
        <f>IFERROR(__xludf.DUMMYFUNCTION("""COMPUTED_VALUE"""),642.0)</f>
        <v>642</v>
      </c>
      <c r="C423" s="5" t="str">
        <f>IFERROR(__xludf.DUMMYFUNCTION("""COMPUTED_VALUE"""),"MUZAFFER ANA")</f>
        <v>MUZAFFER ANA</v>
      </c>
      <c r="D423" s="5">
        <f>IFERROR(__xludf.DUMMYFUNCTION("""COMPUTED_VALUE"""),9554157.0)</f>
        <v>9554157</v>
      </c>
      <c r="E423" s="5" t="str">
        <f>IFERROR(__xludf.DUMMYFUNCTION("""COMPUTED_VALUE"""),"Odesa")</f>
        <v>Odesa</v>
      </c>
      <c r="F423" s="5" t="str">
        <f>IFERROR(__xludf.DUMMYFUNCTION("""COMPUTED_VALUE"""),"Türkiye")</f>
        <v>Türkiye</v>
      </c>
      <c r="G423" s="5" t="str">
        <f>IFERROR(__xludf.DUMMYFUNCTION("""COMPUTED_VALUE"""),"Soya beans")</f>
        <v>Soya beans</v>
      </c>
      <c r="H423" s="6">
        <f>IFERROR(__xludf.DUMMYFUNCTION("""COMPUTED_VALUE"""),11500.0)</f>
        <v>11500</v>
      </c>
      <c r="I423" s="7">
        <f>IFERROR(__xludf.DUMMYFUNCTION("""COMPUTED_VALUE"""),44939.0)</f>
        <v>44939</v>
      </c>
      <c r="J423" s="7">
        <f>IFERROR(__xludf.DUMMYFUNCTION("""COMPUTED_VALUE"""),44951.0)</f>
        <v>44951</v>
      </c>
      <c r="K423" s="5" t="str">
        <f>IFERROR(__xludf.DUMMYFUNCTION("""COMPUTED_VALUE"""),"upper-middle-income")</f>
        <v>upper-middle-income</v>
      </c>
      <c r="L423" s="5" t="str">
        <f>IFERROR(__xludf.DUMMYFUNCTION("""COMPUTED_VALUE"""),"Barbados")</f>
        <v>Barbados</v>
      </c>
      <c r="M423" s="5" t="str">
        <f>IFERROR(__xludf.DUMMYFUNCTION("""COMPUTED_VALUE"""),"Europe &amp; Central Asia")</f>
        <v>Europe &amp; Central Asia</v>
      </c>
      <c r="N423" s="5" t="str">
        <f>IFERROR(__xludf.DUMMYFUNCTION("""COMPUTED_VALUE"""),"Asia-Pacific")</f>
        <v>Asia-Pacific</v>
      </c>
      <c r="O423" s="5" t="str">
        <f>IFERROR(__xludf.DUMMYFUNCTION("""COMPUTED_VALUE"""),"developing")</f>
        <v>developing</v>
      </c>
      <c r="P423" s="5"/>
      <c r="Q423" s="5"/>
    </row>
    <row r="424">
      <c r="A424" s="5" t="str">
        <f>IFERROR(__xludf.DUMMYFUNCTION("""COMPUTED_VALUE"""),"Outbound")</f>
        <v>Outbound</v>
      </c>
      <c r="B424" s="5">
        <f>IFERROR(__xludf.DUMMYFUNCTION("""COMPUTED_VALUE"""),641.0)</f>
        <v>641</v>
      </c>
      <c r="C424" s="5" t="str">
        <f>IFERROR(__xludf.DUMMYFUNCTION("""COMPUTED_VALUE"""),"LADY HATICE")</f>
        <v>LADY HATICE</v>
      </c>
      <c r="D424" s="5">
        <f>IFERROR(__xludf.DUMMYFUNCTION("""COMPUTED_VALUE"""),9413078.0)</f>
        <v>9413078</v>
      </c>
      <c r="E424" s="5" t="str">
        <f>IFERROR(__xludf.DUMMYFUNCTION("""COMPUTED_VALUE"""),"Yuzhny/Pivdennyi")</f>
        <v>Yuzhny/Pivdennyi</v>
      </c>
      <c r="F424" s="5" t="str">
        <f>IFERROR(__xludf.DUMMYFUNCTION("""COMPUTED_VALUE"""),"Morocco")</f>
        <v>Morocco</v>
      </c>
      <c r="G424" s="5" t="str">
        <f>IFERROR(__xludf.DUMMYFUNCTION("""COMPUTED_VALUE"""),"Sunflower seed")</f>
        <v>Sunflower seed</v>
      </c>
      <c r="H424" s="6">
        <f>IFERROR(__xludf.DUMMYFUNCTION("""COMPUTED_VALUE"""),11000.0)</f>
        <v>11000</v>
      </c>
      <c r="I424" s="7">
        <f>IFERROR(__xludf.DUMMYFUNCTION("""COMPUTED_VALUE"""),44939.0)</f>
        <v>44939</v>
      </c>
      <c r="J424" s="7">
        <f>IFERROR(__xludf.DUMMYFUNCTION("""COMPUTED_VALUE"""),44946.0)</f>
        <v>44946</v>
      </c>
      <c r="K424" s="5" t="str">
        <f>IFERROR(__xludf.DUMMYFUNCTION("""COMPUTED_VALUE"""),"lower-middle income")</f>
        <v>lower-middle income</v>
      </c>
      <c r="L424" s="5" t="str">
        <f>IFERROR(__xludf.DUMMYFUNCTION("""COMPUTED_VALUE"""),"Panama")</f>
        <v>Panama</v>
      </c>
      <c r="M424" s="5" t="str">
        <f>IFERROR(__xludf.DUMMYFUNCTION("""COMPUTED_VALUE"""),"Middle East &amp; North Africa")</f>
        <v>Middle East &amp; North Africa</v>
      </c>
      <c r="N424" s="5" t="str">
        <f>IFERROR(__xludf.DUMMYFUNCTION("""COMPUTED_VALUE"""),"Africa")</f>
        <v>Africa</v>
      </c>
      <c r="O424" s="5" t="str">
        <f>IFERROR(__xludf.DUMMYFUNCTION("""COMPUTED_VALUE"""),"developing")</f>
        <v>developing</v>
      </c>
      <c r="P424" s="5"/>
      <c r="Q424" s="5"/>
    </row>
    <row r="425">
      <c r="A425" s="5" t="str">
        <f>IFERROR(__xludf.DUMMYFUNCTION("""COMPUTED_VALUE"""),"Outbound")</f>
        <v>Outbound</v>
      </c>
      <c r="B425" s="5">
        <f>IFERROR(__xludf.DUMMYFUNCTION("""COMPUTED_VALUE"""),640.0)</f>
        <v>640</v>
      </c>
      <c r="C425" s="5" t="str">
        <f>IFERROR(__xludf.DUMMYFUNCTION("""COMPUTED_VALUE"""),"GEORGIA T")</f>
        <v>GEORGIA T</v>
      </c>
      <c r="D425" s="5">
        <f>IFERROR(__xludf.DUMMYFUNCTION("""COMPUTED_VALUE"""),9583756.0)</f>
        <v>9583756</v>
      </c>
      <c r="E425" s="5" t="str">
        <f>IFERROR(__xludf.DUMMYFUNCTION("""COMPUTED_VALUE"""),"Chornomorsk")</f>
        <v>Chornomorsk</v>
      </c>
      <c r="F425" s="5" t="str">
        <f>IFERROR(__xludf.DUMMYFUNCTION("""COMPUTED_VALUE"""),"China")</f>
        <v>China</v>
      </c>
      <c r="G425" s="5" t="str">
        <f>IFERROR(__xludf.DUMMYFUNCTION("""COMPUTED_VALUE"""),"Sunflower meal")</f>
        <v>Sunflower meal</v>
      </c>
      <c r="H425" s="6">
        <f>IFERROR(__xludf.DUMMYFUNCTION("""COMPUTED_VALUE"""),61252.0)</f>
        <v>61252</v>
      </c>
      <c r="I425" s="7">
        <f>IFERROR(__xludf.DUMMYFUNCTION("""COMPUTED_VALUE"""),44939.0)</f>
        <v>44939</v>
      </c>
      <c r="J425" s="7">
        <f>IFERROR(__xludf.DUMMYFUNCTION("""COMPUTED_VALUE"""),44951.0)</f>
        <v>44951</v>
      </c>
      <c r="K425" s="5" t="str">
        <f>IFERROR(__xludf.DUMMYFUNCTION("""COMPUTED_VALUE"""),"upper-middle-income")</f>
        <v>upper-middle-income</v>
      </c>
      <c r="L425" s="5" t="str">
        <f>IFERROR(__xludf.DUMMYFUNCTION("""COMPUTED_VALUE"""),"Liberia")</f>
        <v>Liberia</v>
      </c>
      <c r="M425" s="5" t="str">
        <f>IFERROR(__xludf.DUMMYFUNCTION("""COMPUTED_VALUE"""),"East Asia &amp; Pacific")</f>
        <v>East Asia &amp; Pacific</v>
      </c>
      <c r="N425" s="5" t="str">
        <f>IFERROR(__xludf.DUMMYFUNCTION("""COMPUTED_VALUE"""),"Asia-Pacific")</f>
        <v>Asia-Pacific</v>
      </c>
      <c r="O425" s="5" t="str">
        <f>IFERROR(__xludf.DUMMYFUNCTION("""COMPUTED_VALUE"""),"developing")</f>
        <v>developing</v>
      </c>
      <c r="P425" s="5"/>
      <c r="Q425" s="5"/>
    </row>
    <row r="426">
      <c r="A426" s="5" t="str">
        <f>IFERROR(__xludf.DUMMYFUNCTION("""COMPUTED_VALUE"""),"Outbound")</f>
        <v>Outbound</v>
      </c>
      <c r="B426" s="5">
        <f>IFERROR(__xludf.DUMMYFUNCTION("""COMPUTED_VALUE"""),639.0)</f>
        <v>639</v>
      </c>
      <c r="C426" s="5" t="str">
        <f>IFERROR(__xludf.DUMMYFUNCTION("""COMPUTED_VALUE"""),"GARNET")</f>
        <v>GARNET</v>
      </c>
      <c r="D426" s="5">
        <f>IFERROR(__xludf.DUMMYFUNCTION("""COMPUTED_VALUE"""),9450741.0)</f>
        <v>9450741</v>
      </c>
      <c r="E426" s="5" t="str">
        <f>IFERROR(__xludf.DUMMYFUNCTION("""COMPUTED_VALUE"""),"Yuzhny/Pivdennyi")</f>
        <v>Yuzhny/Pivdennyi</v>
      </c>
      <c r="F426" s="5" t="str">
        <f>IFERROR(__xludf.DUMMYFUNCTION("""COMPUTED_VALUE"""),"Türkiye")</f>
        <v>Türkiye</v>
      </c>
      <c r="G426" s="5" t="str">
        <f>IFERROR(__xludf.DUMMYFUNCTION("""COMPUTED_VALUE"""),"Corn")</f>
        <v>Corn</v>
      </c>
      <c r="H426" s="6">
        <f>IFERROR(__xludf.DUMMYFUNCTION("""COMPUTED_VALUE"""),33000.0)</f>
        <v>33000</v>
      </c>
      <c r="I426" s="7">
        <f>IFERROR(__xludf.DUMMYFUNCTION("""COMPUTED_VALUE"""),44939.0)</f>
        <v>44939</v>
      </c>
      <c r="J426" s="7">
        <f>IFERROR(__xludf.DUMMYFUNCTION("""COMPUTED_VALUE"""),44955.0)</f>
        <v>44955</v>
      </c>
      <c r="K426" s="5" t="str">
        <f>IFERROR(__xludf.DUMMYFUNCTION("""COMPUTED_VALUE"""),"upper-middle-income")</f>
        <v>upper-middle-income</v>
      </c>
      <c r="L426" s="5" t="str">
        <f>IFERROR(__xludf.DUMMYFUNCTION("""COMPUTED_VALUE"""),"Panama")</f>
        <v>Panama</v>
      </c>
      <c r="M426" s="5" t="str">
        <f>IFERROR(__xludf.DUMMYFUNCTION("""COMPUTED_VALUE"""),"Europe &amp; Central Asia")</f>
        <v>Europe &amp; Central Asia</v>
      </c>
      <c r="N426" s="5" t="str">
        <f>IFERROR(__xludf.DUMMYFUNCTION("""COMPUTED_VALUE"""),"Asia-Pacific")</f>
        <v>Asia-Pacific</v>
      </c>
      <c r="O426" s="5" t="str">
        <f>IFERROR(__xludf.DUMMYFUNCTION("""COMPUTED_VALUE"""),"developing")</f>
        <v>developing</v>
      </c>
      <c r="P426" s="5"/>
      <c r="Q426" s="5"/>
    </row>
    <row r="427">
      <c r="A427" s="5" t="str">
        <f>IFERROR(__xludf.DUMMYFUNCTION("""COMPUTED_VALUE"""),"Outbound")</f>
        <v>Outbound</v>
      </c>
      <c r="B427" s="5">
        <f>IFERROR(__xludf.DUMMYFUNCTION("""COMPUTED_VALUE"""),638.0)</f>
        <v>638</v>
      </c>
      <c r="C427" s="5" t="str">
        <f>IFERROR(__xludf.DUMMYFUNCTION("""COMPUTED_VALUE"""),"CUMA")</f>
        <v>CUMA</v>
      </c>
      <c r="D427" s="5">
        <f>IFERROR(__xludf.DUMMYFUNCTION("""COMPUTED_VALUE"""),9311206.0)</f>
        <v>9311206</v>
      </c>
      <c r="E427" s="5" t="str">
        <f>IFERROR(__xludf.DUMMYFUNCTION("""COMPUTED_VALUE"""),"Yuzhny/Pivdennyi")</f>
        <v>Yuzhny/Pivdennyi</v>
      </c>
      <c r="F427" s="5" t="str">
        <f>IFERROR(__xludf.DUMMYFUNCTION("""COMPUTED_VALUE"""),"China")</f>
        <v>China</v>
      </c>
      <c r="G427" s="5" t="str">
        <f>IFERROR(__xludf.DUMMYFUNCTION("""COMPUTED_VALUE"""),"Corn")</f>
        <v>Corn</v>
      </c>
      <c r="H427" s="6">
        <f>IFERROR(__xludf.DUMMYFUNCTION("""COMPUTED_VALUE"""),70799.0)</f>
        <v>70799</v>
      </c>
      <c r="I427" s="7">
        <f>IFERROR(__xludf.DUMMYFUNCTION("""COMPUTED_VALUE"""),44939.0)</f>
        <v>44939</v>
      </c>
      <c r="J427" s="7">
        <f>IFERROR(__xludf.DUMMYFUNCTION("""COMPUTED_VALUE"""),44972.0)</f>
        <v>44972</v>
      </c>
      <c r="K427" s="5" t="str">
        <f>IFERROR(__xludf.DUMMYFUNCTION("""COMPUTED_VALUE"""),"upper-middle-income")</f>
        <v>upper-middle-income</v>
      </c>
      <c r="L427" s="5" t="str">
        <f>IFERROR(__xludf.DUMMYFUNCTION("""COMPUTED_VALUE"""),"Marshall Islands")</f>
        <v>Marshall Islands</v>
      </c>
      <c r="M427" s="5" t="str">
        <f>IFERROR(__xludf.DUMMYFUNCTION("""COMPUTED_VALUE"""),"East Asia &amp; Pacific")</f>
        <v>East Asia &amp; Pacific</v>
      </c>
      <c r="N427" s="5" t="str">
        <f>IFERROR(__xludf.DUMMYFUNCTION("""COMPUTED_VALUE"""),"Asia-Pacific")</f>
        <v>Asia-Pacific</v>
      </c>
      <c r="O427" s="5" t="str">
        <f>IFERROR(__xludf.DUMMYFUNCTION("""COMPUTED_VALUE"""),"developing")</f>
        <v>developing</v>
      </c>
      <c r="P427" s="5"/>
      <c r="Q427" s="5"/>
    </row>
    <row r="428">
      <c r="A428" s="5" t="str">
        <f>IFERROR(__xludf.DUMMYFUNCTION("""COMPUTED_VALUE"""),"Outbound")</f>
        <v>Outbound</v>
      </c>
      <c r="B428" s="5">
        <f>IFERROR(__xludf.DUMMYFUNCTION("""COMPUTED_VALUE"""),637.0)</f>
        <v>637</v>
      </c>
      <c r="C428" s="5" t="str">
        <f>IFERROR(__xludf.DUMMYFUNCTION("""COMPUTED_VALUE"""),"CAPE SCOTT")</f>
        <v>CAPE SCOTT</v>
      </c>
      <c r="D428" s="5">
        <f>IFERROR(__xludf.DUMMYFUNCTION("""COMPUTED_VALUE"""),9159737.0)</f>
        <v>9159737</v>
      </c>
      <c r="E428" s="5" t="str">
        <f>IFERROR(__xludf.DUMMYFUNCTION("""COMPUTED_VALUE"""),"Chornomorsk")</f>
        <v>Chornomorsk</v>
      </c>
      <c r="F428" s="5" t="str">
        <f>IFERROR(__xludf.DUMMYFUNCTION("""COMPUTED_VALUE"""),"Portugal")</f>
        <v>Portugal</v>
      </c>
      <c r="G428" s="5" t="str">
        <f>IFERROR(__xludf.DUMMYFUNCTION("""COMPUTED_VALUE"""),"Corn")</f>
        <v>Corn</v>
      </c>
      <c r="H428" s="6">
        <f>IFERROR(__xludf.DUMMYFUNCTION("""COMPUTED_VALUE"""),28000.0)</f>
        <v>28000</v>
      </c>
      <c r="I428" s="7">
        <f>IFERROR(__xludf.DUMMYFUNCTION("""COMPUTED_VALUE"""),44939.0)</f>
        <v>44939</v>
      </c>
      <c r="J428" s="7">
        <f>IFERROR(__xludf.DUMMYFUNCTION("""COMPUTED_VALUE"""),44947.0)</f>
        <v>44947</v>
      </c>
      <c r="K428" s="5" t="str">
        <f>IFERROR(__xludf.DUMMYFUNCTION("""COMPUTED_VALUE"""),"high-income")</f>
        <v>high-income</v>
      </c>
      <c r="L428" s="5" t="str">
        <f>IFERROR(__xludf.DUMMYFUNCTION("""COMPUTED_VALUE"""),"Beliza")</f>
        <v>Beliza</v>
      </c>
      <c r="M428" s="5" t="str">
        <f>IFERROR(__xludf.DUMMYFUNCTION("""COMPUTED_VALUE"""),"Europe &amp; Central Asia")</f>
        <v>Europe &amp; Central Asia</v>
      </c>
      <c r="N428" s="5" t="str">
        <f>IFERROR(__xludf.DUMMYFUNCTION("""COMPUTED_VALUE"""),"Western Europe and Others")</f>
        <v>Western Europe and Others</v>
      </c>
      <c r="O428" s="5" t="str">
        <f>IFERROR(__xludf.DUMMYFUNCTION("""COMPUTED_VALUE"""),"developed")</f>
        <v>developed</v>
      </c>
      <c r="P428" s="5"/>
      <c r="Q428" s="5"/>
    </row>
    <row r="429">
      <c r="A429" s="5" t="str">
        <f>IFERROR(__xludf.DUMMYFUNCTION("""COMPUTED_VALUE"""),"Outbound")</f>
        <v>Outbound</v>
      </c>
      <c r="B429" s="5">
        <f>IFERROR(__xludf.DUMMYFUNCTION("""COMPUTED_VALUE"""),636.0)</f>
        <v>636</v>
      </c>
      <c r="C429" s="5" t="str">
        <f>IFERROR(__xludf.DUMMYFUNCTION("""COMPUTED_VALUE"""),"BOSPHORUS KING")</f>
        <v>BOSPHORUS KING</v>
      </c>
      <c r="D429" s="5">
        <f>IFERROR(__xludf.DUMMYFUNCTION("""COMPUTED_VALUE"""),9111357.0)</f>
        <v>9111357</v>
      </c>
      <c r="E429" s="5" t="str">
        <f>IFERROR(__xludf.DUMMYFUNCTION("""COMPUTED_VALUE"""),"Chornomorsk")</f>
        <v>Chornomorsk</v>
      </c>
      <c r="F429" s="5" t="str">
        <f>IFERROR(__xludf.DUMMYFUNCTION("""COMPUTED_VALUE"""),"Italy")</f>
        <v>Italy</v>
      </c>
      <c r="G429" s="5" t="str">
        <f>IFERROR(__xludf.DUMMYFUNCTION("""COMPUTED_VALUE"""),"Corn")</f>
        <v>Corn</v>
      </c>
      <c r="H429" s="6">
        <f>IFERROR(__xludf.DUMMYFUNCTION("""COMPUTED_VALUE"""),25000.0)</f>
        <v>25000</v>
      </c>
      <c r="I429" s="7">
        <f>IFERROR(__xludf.DUMMYFUNCTION("""COMPUTED_VALUE"""),44939.0)</f>
        <v>44939</v>
      </c>
      <c r="J429" s="7">
        <f>IFERROR(__xludf.DUMMYFUNCTION("""COMPUTED_VALUE"""),44949.0)</f>
        <v>44949</v>
      </c>
      <c r="K429" s="5" t="str">
        <f>IFERROR(__xludf.DUMMYFUNCTION("""COMPUTED_VALUE"""),"high-income")</f>
        <v>high-income</v>
      </c>
      <c r="L429" s="5" t="str">
        <f>IFERROR(__xludf.DUMMYFUNCTION("""COMPUTED_VALUE"""),"Panama")</f>
        <v>Panama</v>
      </c>
      <c r="M429" s="5" t="str">
        <f>IFERROR(__xludf.DUMMYFUNCTION("""COMPUTED_VALUE"""),"Europe &amp; Central Asia")</f>
        <v>Europe &amp; Central Asia</v>
      </c>
      <c r="N429" s="5" t="str">
        <f>IFERROR(__xludf.DUMMYFUNCTION("""COMPUTED_VALUE"""),"Western Europe and Others")</f>
        <v>Western Europe and Others</v>
      </c>
      <c r="O429" s="5" t="str">
        <f>IFERROR(__xludf.DUMMYFUNCTION("""COMPUTED_VALUE"""),"developed")</f>
        <v>developed</v>
      </c>
      <c r="P429" s="5"/>
      <c r="Q429" s="5"/>
    </row>
    <row r="430">
      <c r="A430" s="5" t="str">
        <f>IFERROR(__xludf.DUMMYFUNCTION("""COMPUTED_VALUE"""),"Outbound")</f>
        <v>Outbound</v>
      </c>
      <c r="B430" s="5">
        <f>IFERROR(__xludf.DUMMYFUNCTION("""COMPUTED_VALUE"""),635.0)</f>
        <v>635</v>
      </c>
      <c r="C430" s="5" t="str">
        <f>IFERROR(__xludf.DUMMYFUNCTION("""COMPUTED_VALUE"""),"LADY LITEL")</f>
        <v>LADY LITEL</v>
      </c>
      <c r="D430" s="5">
        <f>IFERROR(__xludf.DUMMYFUNCTION("""COMPUTED_VALUE"""),9571428.0)</f>
        <v>9571428</v>
      </c>
      <c r="E430" s="5" t="str">
        <f>IFERROR(__xludf.DUMMYFUNCTION("""COMPUTED_VALUE"""),"Odesa")</f>
        <v>Odesa</v>
      </c>
      <c r="F430" s="5" t="str">
        <f>IFERROR(__xludf.DUMMYFUNCTION("""COMPUTED_VALUE"""),"Libya")</f>
        <v>Libya</v>
      </c>
      <c r="G430" s="5" t="str">
        <f>IFERROR(__xludf.DUMMYFUNCTION("""COMPUTED_VALUE"""),"Wheat")</f>
        <v>Wheat</v>
      </c>
      <c r="H430" s="6">
        <f>IFERROR(__xludf.DUMMYFUNCTION("""COMPUTED_VALUE"""),31000.0)</f>
        <v>31000</v>
      </c>
      <c r="I430" s="7">
        <f>IFERROR(__xludf.DUMMYFUNCTION("""COMPUTED_VALUE"""),44938.0)</f>
        <v>44938</v>
      </c>
      <c r="J430" s="7">
        <f>IFERROR(__xludf.DUMMYFUNCTION("""COMPUTED_VALUE"""),44943.0)</f>
        <v>44943</v>
      </c>
      <c r="K430" s="5" t="str">
        <f>IFERROR(__xludf.DUMMYFUNCTION("""COMPUTED_VALUE"""),"upper-middle-income")</f>
        <v>upper-middle-income</v>
      </c>
      <c r="L430" s="5" t="str">
        <f>IFERROR(__xludf.DUMMYFUNCTION("""COMPUTED_VALUE"""),"Bahamas")</f>
        <v>Bahamas</v>
      </c>
      <c r="M430" s="5" t="str">
        <f>IFERROR(__xludf.DUMMYFUNCTION("""COMPUTED_VALUE"""),"Middle East &amp; North Africa")</f>
        <v>Middle East &amp; North Africa</v>
      </c>
      <c r="N430" s="5" t="str">
        <f>IFERROR(__xludf.DUMMYFUNCTION("""COMPUTED_VALUE"""),"Africa")</f>
        <v>Africa</v>
      </c>
      <c r="O430" s="5" t="str">
        <f>IFERROR(__xludf.DUMMYFUNCTION("""COMPUTED_VALUE"""),"developing")</f>
        <v>developing</v>
      </c>
      <c r="P430" s="5"/>
      <c r="Q430" s="5"/>
    </row>
    <row r="431">
      <c r="A431" s="5" t="str">
        <f>IFERROR(__xludf.DUMMYFUNCTION("""COMPUTED_VALUE"""),"Outbound")</f>
        <v>Outbound</v>
      </c>
      <c r="B431" s="5">
        <f>IFERROR(__xludf.DUMMYFUNCTION("""COMPUTED_VALUE"""),634.0)</f>
        <v>634</v>
      </c>
      <c r="C431" s="5" t="str">
        <f>IFERROR(__xludf.DUMMYFUNCTION("""COMPUTED_VALUE"""),"EAST WIND I")</f>
        <v>EAST WIND I</v>
      </c>
      <c r="D431" s="5">
        <f>IFERROR(__xludf.DUMMYFUNCTION("""COMPUTED_VALUE"""),9278973.0)</f>
        <v>9278973</v>
      </c>
      <c r="E431" s="5" t="str">
        <f>IFERROR(__xludf.DUMMYFUNCTION("""COMPUTED_VALUE"""),"Odesa")</f>
        <v>Odesa</v>
      </c>
      <c r="F431" s="5" t="str">
        <f>IFERROR(__xludf.DUMMYFUNCTION("""COMPUTED_VALUE"""),"Tunisia")</f>
        <v>Tunisia</v>
      </c>
      <c r="G431" s="5" t="str">
        <f>IFERROR(__xludf.DUMMYFUNCTION("""COMPUTED_VALUE"""),"Barley")</f>
        <v>Barley</v>
      </c>
      <c r="H431" s="6">
        <f>IFERROR(__xludf.DUMMYFUNCTION("""COMPUTED_VALUE"""),25000.0)</f>
        <v>25000</v>
      </c>
      <c r="I431" s="7">
        <f>IFERROR(__xludf.DUMMYFUNCTION("""COMPUTED_VALUE"""),44938.0)</f>
        <v>44938</v>
      </c>
      <c r="J431" s="7">
        <f>IFERROR(__xludf.DUMMYFUNCTION("""COMPUTED_VALUE"""),44945.0)</f>
        <v>44945</v>
      </c>
      <c r="K431" s="5" t="str">
        <f>IFERROR(__xludf.DUMMYFUNCTION("""COMPUTED_VALUE"""),"lower-middle income")</f>
        <v>lower-middle income</v>
      </c>
      <c r="L431" s="5" t="str">
        <f>IFERROR(__xludf.DUMMYFUNCTION("""COMPUTED_VALUE"""),"Panama")</f>
        <v>Panama</v>
      </c>
      <c r="M431" s="5" t="str">
        <f>IFERROR(__xludf.DUMMYFUNCTION("""COMPUTED_VALUE"""),"Middle East &amp; North Africa")</f>
        <v>Middle East &amp; North Africa</v>
      </c>
      <c r="N431" s="5" t="str">
        <f>IFERROR(__xludf.DUMMYFUNCTION("""COMPUTED_VALUE"""),"Africa")</f>
        <v>Africa</v>
      </c>
      <c r="O431" s="5" t="str">
        <f>IFERROR(__xludf.DUMMYFUNCTION("""COMPUTED_VALUE"""),"developing")</f>
        <v>developing</v>
      </c>
      <c r="P431" s="5"/>
      <c r="Q431" s="5"/>
    </row>
    <row r="432">
      <c r="A432" s="5" t="str">
        <f>IFERROR(__xludf.DUMMYFUNCTION("""COMPUTED_VALUE"""),"Outbound")</f>
        <v>Outbound</v>
      </c>
      <c r="B432" s="5">
        <f>IFERROR(__xludf.DUMMYFUNCTION("""COMPUTED_VALUE"""),633.0)</f>
        <v>633</v>
      </c>
      <c r="C432" s="5" t="str">
        <f>IFERROR(__xludf.DUMMYFUNCTION("""COMPUTED_VALUE"""),"TRUE HARMONY")</f>
        <v>TRUE HARMONY</v>
      </c>
      <c r="D432" s="5">
        <f>IFERROR(__xludf.DUMMYFUNCTION("""COMPUTED_VALUE"""),9470789.0)</f>
        <v>9470789</v>
      </c>
      <c r="E432" s="5" t="str">
        <f>IFERROR(__xludf.DUMMYFUNCTION("""COMPUTED_VALUE"""),"Odesa")</f>
        <v>Odesa</v>
      </c>
      <c r="F432" s="5" t="str">
        <f>IFERROR(__xludf.DUMMYFUNCTION("""COMPUTED_VALUE"""),"Egypt")</f>
        <v>Egypt</v>
      </c>
      <c r="G432" s="5" t="str">
        <f>IFERROR(__xludf.DUMMYFUNCTION("""COMPUTED_VALUE"""),"Corn")</f>
        <v>Corn</v>
      </c>
      <c r="H432" s="6">
        <f>IFERROR(__xludf.DUMMYFUNCTION("""COMPUTED_VALUE"""),25900.0)</f>
        <v>25900</v>
      </c>
      <c r="I432" s="7">
        <f>IFERROR(__xludf.DUMMYFUNCTION("""COMPUTED_VALUE"""),44934.0)</f>
        <v>44934</v>
      </c>
      <c r="J432" s="7">
        <f>IFERROR(__xludf.DUMMYFUNCTION("""COMPUTED_VALUE"""),44948.0)</f>
        <v>44948</v>
      </c>
      <c r="K432" s="5" t="str">
        <f>IFERROR(__xludf.DUMMYFUNCTION("""COMPUTED_VALUE"""),"lower-middle income")</f>
        <v>lower-middle income</v>
      </c>
      <c r="L432" s="5" t="str">
        <f>IFERROR(__xludf.DUMMYFUNCTION("""COMPUTED_VALUE"""),"Barbados")</f>
        <v>Barbados</v>
      </c>
      <c r="M432" s="5" t="str">
        <f>IFERROR(__xludf.DUMMYFUNCTION("""COMPUTED_VALUE"""),"Middle East &amp; North Africa")</f>
        <v>Middle East &amp; North Africa</v>
      </c>
      <c r="N432" s="5" t="str">
        <f>IFERROR(__xludf.DUMMYFUNCTION("""COMPUTED_VALUE"""),"Africa")</f>
        <v>Africa</v>
      </c>
      <c r="O432" s="5" t="str">
        <f>IFERROR(__xludf.DUMMYFUNCTION("""COMPUTED_VALUE"""),"developing")</f>
        <v>developing</v>
      </c>
      <c r="P432" s="5"/>
      <c r="Q432" s="5"/>
    </row>
    <row r="433">
      <c r="A433" s="5" t="str">
        <f>IFERROR(__xludf.DUMMYFUNCTION("""COMPUTED_VALUE"""),"Outbound")</f>
        <v>Outbound</v>
      </c>
      <c r="B433" s="5">
        <f>IFERROR(__xludf.DUMMYFUNCTION("""COMPUTED_VALUE"""),632.0)</f>
        <v>632</v>
      </c>
      <c r="C433" s="5" t="str">
        <f>IFERROR(__xludf.DUMMYFUNCTION("""COMPUTED_VALUE"""),"MKK 1")</f>
        <v>MKK 1</v>
      </c>
      <c r="D433" s="5">
        <f>IFERROR(__xludf.DUMMYFUNCTION("""COMPUTED_VALUE"""),8902929.0)</f>
        <v>8902929</v>
      </c>
      <c r="E433" s="5" t="str">
        <f>IFERROR(__xludf.DUMMYFUNCTION("""COMPUTED_VALUE"""),"Yuzhny/Pivdennyi")</f>
        <v>Yuzhny/Pivdennyi</v>
      </c>
      <c r="F433" s="5" t="str">
        <f>IFERROR(__xludf.DUMMYFUNCTION("""COMPUTED_VALUE"""),"Türkiye")</f>
        <v>Türkiye</v>
      </c>
      <c r="G433" s="5" t="str">
        <f>IFERROR(__xludf.DUMMYFUNCTION("""COMPUTED_VALUE"""),"Peas")</f>
        <v>Peas</v>
      </c>
      <c r="H433" s="6">
        <f>IFERROR(__xludf.DUMMYFUNCTION("""COMPUTED_VALUE"""),13000.0)</f>
        <v>13000</v>
      </c>
      <c r="I433" s="7">
        <f>IFERROR(__xludf.DUMMYFUNCTION("""COMPUTED_VALUE"""),44934.0)</f>
        <v>44934</v>
      </c>
      <c r="J433" s="7">
        <f>IFERROR(__xludf.DUMMYFUNCTION("""COMPUTED_VALUE"""),44946.0)</f>
        <v>44946</v>
      </c>
      <c r="K433" s="5" t="str">
        <f>IFERROR(__xludf.DUMMYFUNCTION("""COMPUTED_VALUE"""),"upper-middle-income")</f>
        <v>upper-middle-income</v>
      </c>
      <c r="L433" s="5" t="str">
        <f>IFERROR(__xludf.DUMMYFUNCTION("""COMPUTED_VALUE"""),"Palau")</f>
        <v>Palau</v>
      </c>
      <c r="M433" s="5" t="str">
        <f>IFERROR(__xludf.DUMMYFUNCTION("""COMPUTED_VALUE"""),"Europe &amp; Central Asia")</f>
        <v>Europe &amp; Central Asia</v>
      </c>
      <c r="N433" s="5" t="str">
        <f>IFERROR(__xludf.DUMMYFUNCTION("""COMPUTED_VALUE"""),"Asia-Pacific")</f>
        <v>Asia-Pacific</v>
      </c>
      <c r="O433" s="5" t="str">
        <f>IFERROR(__xludf.DUMMYFUNCTION("""COMPUTED_VALUE"""),"developing")</f>
        <v>developing</v>
      </c>
      <c r="P433" s="5"/>
      <c r="Q433" s="5"/>
    </row>
    <row r="434">
      <c r="A434" s="5" t="str">
        <f>IFERROR(__xludf.DUMMYFUNCTION("""COMPUTED_VALUE"""),"Outbound")</f>
        <v>Outbound</v>
      </c>
      <c r="B434" s="5">
        <f>IFERROR(__xludf.DUMMYFUNCTION("""COMPUTED_VALUE"""),631.0)</f>
        <v>631</v>
      </c>
      <c r="C434" s="5" t="str">
        <f>IFERROR(__xludf.DUMMYFUNCTION("""COMPUTED_VALUE"""),"LEO I")</f>
        <v>LEO I</v>
      </c>
      <c r="D434" s="5">
        <f>IFERROR(__xludf.DUMMYFUNCTION("""COMPUTED_VALUE"""),9231561.0)</f>
        <v>9231561</v>
      </c>
      <c r="E434" s="5" t="str">
        <f>IFERROR(__xludf.DUMMYFUNCTION("""COMPUTED_VALUE"""),"Odesa")</f>
        <v>Odesa</v>
      </c>
      <c r="F434" s="5" t="str">
        <f>IFERROR(__xludf.DUMMYFUNCTION("""COMPUTED_VALUE"""),"Sri Lanka")</f>
        <v>Sri Lanka</v>
      </c>
      <c r="G434" s="5" t="str">
        <f>IFERROR(__xludf.DUMMYFUNCTION("""COMPUTED_VALUE"""),"Wheat")</f>
        <v>Wheat</v>
      </c>
      <c r="H434" s="6">
        <f>IFERROR(__xludf.DUMMYFUNCTION("""COMPUTED_VALUE"""),49500.0)</f>
        <v>49500</v>
      </c>
      <c r="I434" s="7">
        <f>IFERROR(__xludf.DUMMYFUNCTION("""COMPUTED_VALUE"""),44934.0)</f>
        <v>44934</v>
      </c>
      <c r="J434" s="7">
        <f>IFERROR(__xludf.DUMMYFUNCTION("""COMPUTED_VALUE"""),44956.0)</f>
        <v>44956</v>
      </c>
      <c r="K434" s="5" t="str">
        <f>IFERROR(__xludf.DUMMYFUNCTION("""COMPUTED_VALUE"""),"lower-middle income")</f>
        <v>lower-middle income</v>
      </c>
      <c r="L434" s="5" t="str">
        <f>IFERROR(__xludf.DUMMYFUNCTION("""COMPUTED_VALUE"""),"Panama")</f>
        <v>Panama</v>
      </c>
      <c r="M434" s="5" t="str">
        <f>IFERROR(__xludf.DUMMYFUNCTION("""COMPUTED_VALUE"""),"South Asia")</f>
        <v>South Asia</v>
      </c>
      <c r="N434" s="5" t="str">
        <f>IFERROR(__xludf.DUMMYFUNCTION("""COMPUTED_VALUE"""),"Asia-Pacific")</f>
        <v>Asia-Pacific</v>
      </c>
      <c r="O434" s="5" t="str">
        <f>IFERROR(__xludf.DUMMYFUNCTION("""COMPUTED_VALUE"""),"developing")</f>
        <v>developing</v>
      </c>
      <c r="P434" s="5"/>
      <c r="Q434" s="5"/>
    </row>
    <row r="435">
      <c r="A435" s="5" t="str">
        <f>IFERROR(__xludf.DUMMYFUNCTION("""COMPUTED_VALUE"""),"Outbound")</f>
        <v>Outbound</v>
      </c>
      <c r="B435" s="5">
        <f>IFERROR(__xludf.DUMMYFUNCTION("""COMPUTED_VALUE"""),630.0)</f>
        <v>630</v>
      </c>
      <c r="C435" s="5" t="str">
        <f>IFERROR(__xludf.DUMMYFUNCTION("""COMPUTED_VALUE"""),"BOMUSTAFA O")</f>
        <v>BOMUSTAFA O</v>
      </c>
      <c r="D435" s="5">
        <f>IFERROR(__xludf.DUMMYFUNCTION("""COMPUTED_VALUE"""),9114476.0)</f>
        <v>9114476</v>
      </c>
      <c r="E435" s="5" t="str">
        <f>IFERROR(__xludf.DUMMYFUNCTION("""COMPUTED_VALUE"""),"Chornomorsk")</f>
        <v>Chornomorsk</v>
      </c>
      <c r="F435" s="5" t="str">
        <f>IFERROR(__xludf.DUMMYFUNCTION("""COMPUTED_VALUE"""),"United Kingdom")</f>
        <v>United Kingdom</v>
      </c>
      <c r="G435" s="5" t="str">
        <f>IFERROR(__xludf.DUMMYFUNCTION("""COMPUTED_VALUE"""),"Sunflower seed")</f>
        <v>Sunflower seed</v>
      </c>
      <c r="H435" s="6">
        <f>IFERROR(__xludf.DUMMYFUNCTION("""COMPUTED_VALUE"""),12500.0)</f>
        <v>12500</v>
      </c>
      <c r="I435" s="7">
        <f>IFERROR(__xludf.DUMMYFUNCTION("""COMPUTED_VALUE"""),44934.0)</f>
        <v>44934</v>
      </c>
      <c r="J435" s="7">
        <f>IFERROR(__xludf.DUMMYFUNCTION("""COMPUTED_VALUE"""),44949.0)</f>
        <v>44949</v>
      </c>
      <c r="K435" s="5" t="str">
        <f>IFERROR(__xludf.DUMMYFUNCTION("""COMPUTED_VALUE"""),"high-income")</f>
        <v>high-income</v>
      </c>
      <c r="L435" s="5" t="str">
        <f>IFERROR(__xludf.DUMMYFUNCTION("""COMPUTED_VALUE"""),"Panama")</f>
        <v>Panama</v>
      </c>
      <c r="M435" s="5" t="str">
        <f>IFERROR(__xludf.DUMMYFUNCTION("""COMPUTED_VALUE"""),"Europe &amp; Central Asia")</f>
        <v>Europe &amp; Central Asia</v>
      </c>
      <c r="N435" s="5" t="str">
        <f>IFERROR(__xludf.DUMMYFUNCTION("""COMPUTED_VALUE"""),"Western Europe and Others")</f>
        <v>Western Europe and Others</v>
      </c>
      <c r="O435" s="5" t="str">
        <f>IFERROR(__xludf.DUMMYFUNCTION("""COMPUTED_VALUE"""),"developed")</f>
        <v>developed</v>
      </c>
      <c r="P435" s="5"/>
      <c r="Q435" s="5"/>
    </row>
    <row r="436">
      <c r="A436" s="5" t="str">
        <f>IFERROR(__xludf.DUMMYFUNCTION("""COMPUTED_VALUE"""),"Outbound")</f>
        <v>Outbound</v>
      </c>
      <c r="B436" s="5">
        <f>IFERROR(__xludf.DUMMYFUNCTION("""COMPUTED_VALUE"""),629.0)</f>
        <v>629</v>
      </c>
      <c r="C436" s="5" t="str">
        <f>IFERROR(__xludf.DUMMYFUNCTION("""COMPUTED_VALUE"""),"MENTOR")</f>
        <v>MENTOR</v>
      </c>
      <c r="D436" s="5">
        <f>IFERROR(__xludf.DUMMYFUNCTION("""COMPUTED_VALUE"""),9340374.0)</f>
        <v>9340374</v>
      </c>
      <c r="E436" s="5" t="str">
        <f>IFERROR(__xludf.DUMMYFUNCTION("""COMPUTED_VALUE"""),"Yuzhny/Pivdennyi")</f>
        <v>Yuzhny/Pivdennyi</v>
      </c>
      <c r="F436" s="5" t="str">
        <f>IFERROR(__xludf.DUMMYFUNCTION("""COMPUTED_VALUE"""),"Spain")</f>
        <v>Spain</v>
      </c>
      <c r="G436" s="5" t="str">
        <f>IFERROR(__xludf.DUMMYFUNCTION("""COMPUTED_VALUE"""),"Sunflower oil")</f>
        <v>Sunflower oil</v>
      </c>
      <c r="H436" s="6">
        <f>IFERROR(__xludf.DUMMYFUNCTION("""COMPUTED_VALUE"""),12200.0)</f>
        <v>12200</v>
      </c>
      <c r="I436" s="7">
        <f>IFERROR(__xludf.DUMMYFUNCTION("""COMPUTED_VALUE"""),44933.0)</f>
        <v>44933</v>
      </c>
      <c r="J436" s="7">
        <f>IFERROR(__xludf.DUMMYFUNCTION("""COMPUTED_VALUE"""),44947.0)</f>
        <v>44947</v>
      </c>
      <c r="K436" s="5" t="str">
        <f>IFERROR(__xludf.DUMMYFUNCTION("""COMPUTED_VALUE"""),"high-income")</f>
        <v>high-income</v>
      </c>
      <c r="L436" s="5" t="str">
        <f>IFERROR(__xludf.DUMMYFUNCTION("""COMPUTED_VALUE"""),"Marshall Islands")</f>
        <v>Marshall Islands</v>
      </c>
      <c r="M436" s="5" t="str">
        <f>IFERROR(__xludf.DUMMYFUNCTION("""COMPUTED_VALUE"""),"Europe &amp; Central Asia")</f>
        <v>Europe &amp; Central Asia</v>
      </c>
      <c r="N436" s="5" t="str">
        <f>IFERROR(__xludf.DUMMYFUNCTION("""COMPUTED_VALUE"""),"Western Europe and Others")</f>
        <v>Western Europe and Others</v>
      </c>
      <c r="O436" s="5" t="str">
        <f>IFERROR(__xludf.DUMMYFUNCTION("""COMPUTED_VALUE"""),"developed")</f>
        <v>developed</v>
      </c>
      <c r="P436" s="5"/>
      <c r="Q436" s="5"/>
    </row>
    <row r="437">
      <c r="A437" s="5" t="str">
        <f>IFERROR(__xludf.DUMMYFUNCTION("""COMPUTED_VALUE"""),"Outbound")</f>
        <v>Outbound</v>
      </c>
      <c r="B437" s="5">
        <f>IFERROR(__xludf.DUMMYFUNCTION("""COMPUTED_VALUE"""),628.0)</f>
        <v>628</v>
      </c>
      <c r="C437" s="5" t="str">
        <f>IFERROR(__xludf.DUMMYFUNCTION("""COMPUTED_VALUE"""),"MED ISLAND")</f>
        <v>MED ISLAND</v>
      </c>
      <c r="D437" s="5">
        <f>IFERROR(__xludf.DUMMYFUNCTION("""COMPUTED_VALUE"""),9322748.0)</f>
        <v>9322748</v>
      </c>
      <c r="E437" s="5" t="str">
        <f>IFERROR(__xludf.DUMMYFUNCTION("""COMPUTED_VALUE"""),"Odesa")</f>
        <v>Odesa</v>
      </c>
      <c r="F437" s="5" t="str">
        <f>IFERROR(__xludf.DUMMYFUNCTION("""COMPUTED_VALUE"""),"Italy")</f>
        <v>Italy</v>
      </c>
      <c r="G437" s="5" t="str">
        <f>IFERROR(__xludf.DUMMYFUNCTION("""COMPUTED_VALUE"""),"Corn")</f>
        <v>Corn</v>
      </c>
      <c r="H437" s="6">
        <f>IFERROR(__xludf.DUMMYFUNCTION("""COMPUTED_VALUE"""),27000.0)</f>
        <v>27000</v>
      </c>
      <c r="I437" s="7">
        <f>IFERROR(__xludf.DUMMYFUNCTION("""COMPUTED_VALUE"""),44932.0)</f>
        <v>44932</v>
      </c>
      <c r="J437" s="7">
        <f>IFERROR(__xludf.DUMMYFUNCTION("""COMPUTED_VALUE"""),44942.0)</f>
        <v>44942</v>
      </c>
      <c r="K437" s="5" t="str">
        <f>IFERROR(__xludf.DUMMYFUNCTION("""COMPUTED_VALUE"""),"high-income")</f>
        <v>high-income</v>
      </c>
      <c r="L437" s="5" t="str">
        <f>IFERROR(__xludf.DUMMYFUNCTION("""COMPUTED_VALUE"""),"Malta")</f>
        <v>Malta</v>
      </c>
      <c r="M437" s="5" t="str">
        <f>IFERROR(__xludf.DUMMYFUNCTION("""COMPUTED_VALUE"""),"Europe &amp; Central Asia")</f>
        <v>Europe &amp; Central Asia</v>
      </c>
      <c r="N437" s="5" t="str">
        <f>IFERROR(__xludf.DUMMYFUNCTION("""COMPUTED_VALUE"""),"Western Europe and Others")</f>
        <v>Western Europe and Others</v>
      </c>
      <c r="O437" s="5" t="str">
        <f>IFERROR(__xludf.DUMMYFUNCTION("""COMPUTED_VALUE"""),"developed")</f>
        <v>developed</v>
      </c>
      <c r="P437" s="5"/>
      <c r="Q437" s="5"/>
    </row>
    <row r="438">
      <c r="A438" s="5" t="str">
        <f>IFERROR(__xludf.DUMMYFUNCTION("""COMPUTED_VALUE"""),"Outbound")</f>
        <v>Outbound</v>
      </c>
      <c r="B438" s="5">
        <f>IFERROR(__xludf.DUMMYFUNCTION("""COMPUTED_VALUE"""),627.0)</f>
        <v>627</v>
      </c>
      <c r="C438" s="5" t="str">
        <f>IFERROR(__xludf.DUMMYFUNCTION("""COMPUTED_VALUE"""),"LADY DIVINA")</f>
        <v>LADY DIVINA</v>
      </c>
      <c r="D438" s="5">
        <f>IFERROR(__xludf.DUMMYFUNCTION("""COMPUTED_VALUE"""),9354052.0)</f>
        <v>9354052</v>
      </c>
      <c r="E438" s="5" t="str">
        <f>IFERROR(__xludf.DUMMYFUNCTION("""COMPUTED_VALUE"""),"Chornomorsk")</f>
        <v>Chornomorsk</v>
      </c>
      <c r="F438" s="5" t="str">
        <f>IFERROR(__xludf.DUMMYFUNCTION("""COMPUTED_VALUE"""),"Italy")</f>
        <v>Italy</v>
      </c>
      <c r="G438" s="5" t="str">
        <f>IFERROR(__xludf.DUMMYFUNCTION("""COMPUTED_VALUE"""),"Wheat")</f>
        <v>Wheat</v>
      </c>
      <c r="H438" s="6">
        <f>IFERROR(__xludf.DUMMYFUNCTION("""COMPUTED_VALUE"""),18300.0)</f>
        <v>18300</v>
      </c>
      <c r="I438" s="7">
        <f>IFERROR(__xludf.DUMMYFUNCTION("""COMPUTED_VALUE"""),44932.0)</f>
        <v>44932</v>
      </c>
      <c r="J438" s="7">
        <f>IFERROR(__xludf.DUMMYFUNCTION("""COMPUTED_VALUE"""),44940.0)</f>
        <v>44940</v>
      </c>
      <c r="K438" s="5" t="str">
        <f>IFERROR(__xludf.DUMMYFUNCTION("""COMPUTED_VALUE"""),"high-income")</f>
        <v>high-income</v>
      </c>
      <c r="L438" s="5" t="str">
        <f>IFERROR(__xludf.DUMMYFUNCTION("""COMPUTED_VALUE"""),"Barbados")</f>
        <v>Barbados</v>
      </c>
      <c r="M438" s="5" t="str">
        <f>IFERROR(__xludf.DUMMYFUNCTION("""COMPUTED_VALUE"""),"Europe &amp; Central Asia")</f>
        <v>Europe &amp; Central Asia</v>
      </c>
      <c r="N438" s="5" t="str">
        <f>IFERROR(__xludf.DUMMYFUNCTION("""COMPUTED_VALUE"""),"Western Europe and Others")</f>
        <v>Western Europe and Others</v>
      </c>
      <c r="O438" s="5" t="str">
        <f>IFERROR(__xludf.DUMMYFUNCTION("""COMPUTED_VALUE"""),"developed")</f>
        <v>developed</v>
      </c>
      <c r="P438" s="5"/>
      <c r="Q438" s="5"/>
    </row>
    <row r="439">
      <c r="A439" s="5" t="str">
        <f>IFERROR(__xludf.DUMMYFUNCTION("""COMPUTED_VALUE"""),"Outbound")</f>
        <v>Outbound</v>
      </c>
      <c r="B439" s="5">
        <f>IFERROR(__xludf.DUMMYFUNCTION("""COMPUTED_VALUE"""),626.0)</f>
        <v>626</v>
      </c>
      <c r="C439" s="5" t="str">
        <f>IFERROR(__xludf.DUMMYFUNCTION("""COMPUTED_VALUE"""),"STAR GALAXY")</f>
        <v>STAR GALAXY</v>
      </c>
      <c r="D439" s="5">
        <f>IFERROR(__xludf.DUMMYFUNCTION("""COMPUTED_VALUE"""),9728908.0)</f>
        <v>9728908</v>
      </c>
      <c r="E439" s="5" t="str">
        <f>IFERROR(__xludf.DUMMYFUNCTION("""COMPUTED_VALUE"""),"Yuzhny/Pivdennyi")</f>
        <v>Yuzhny/Pivdennyi</v>
      </c>
      <c r="F439" s="5" t="str">
        <f>IFERROR(__xludf.DUMMYFUNCTION("""COMPUTED_VALUE"""),"China")</f>
        <v>China</v>
      </c>
      <c r="G439" s="5" t="str">
        <f>IFERROR(__xludf.DUMMYFUNCTION("""COMPUTED_VALUE"""),"Corn")</f>
        <v>Corn</v>
      </c>
      <c r="H439" s="6">
        <f>IFERROR(__xludf.DUMMYFUNCTION("""COMPUTED_VALUE"""),66500.0)</f>
        <v>66500</v>
      </c>
      <c r="I439" s="7">
        <f>IFERROR(__xludf.DUMMYFUNCTION("""COMPUTED_VALUE"""),44931.0)</f>
        <v>44931</v>
      </c>
      <c r="J439" s="7">
        <f>IFERROR(__xludf.DUMMYFUNCTION("""COMPUTED_VALUE"""),44939.0)</f>
        <v>44939</v>
      </c>
      <c r="K439" s="5" t="str">
        <f>IFERROR(__xludf.DUMMYFUNCTION("""COMPUTED_VALUE"""),"upper-middle-income")</f>
        <v>upper-middle-income</v>
      </c>
      <c r="L439" s="5" t="str">
        <f>IFERROR(__xludf.DUMMYFUNCTION("""COMPUTED_VALUE"""),"Bahamas")</f>
        <v>Bahamas</v>
      </c>
      <c r="M439" s="5" t="str">
        <f>IFERROR(__xludf.DUMMYFUNCTION("""COMPUTED_VALUE"""),"East Asia &amp; Pacific")</f>
        <v>East Asia &amp; Pacific</v>
      </c>
      <c r="N439" s="5" t="str">
        <f>IFERROR(__xludf.DUMMYFUNCTION("""COMPUTED_VALUE"""),"Asia-Pacific")</f>
        <v>Asia-Pacific</v>
      </c>
      <c r="O439" s="5" t="str">
        <f>IFERROR(__xludf.DUMMYFUNCTION("""COMPUTED_VALUE"""),"developing")</f>
        <v>developing</v>
      </c>
      <c r="P439" s="5"/>
      <c r="Q439" s="5"/>
    </row>
    <row r="440">
      <c r="A440" s="5" t="str">
        <f>IFERROR(__xludf.DUMMYFUNCTION("""COMPUTED_VALUE"""),"Outbound")</f>
        <v>Outbound</v>
      </c>
      <c r="B440" s="5">
        <f>IFERROR(__xludf.DUMMYFUNCTION("""COMPUTED_VALUE"""),625.0)</f>
        <v>625</v>
      </c>
      <c r="C440" s="5" t="str">
        <f>IFERROR(__xludf.DUMMYFUNCTION("""COMPUTED_VALUE"""),"SAADET C")</f>
        <v>SAADET C</v>
      </c>
      <c r="D440" s="5">
        <f>IFERROR(__xludf.DUMMYFUNCTION("""COMPUTED_VALUE"""),9549267.0)</f>
        <v>9549267</v>
      </c>
      <c r="E440" s="5" t="str">
        <f>IFERROR(__xludf.DUMMYFUNCTION("""COMPUTED_VALUE"""),"Chornomorsk")</f>
        <v>Chornomorsk</v>
      </c>
      <c r="F440" s="5" t="str">
        <f>IFERROR(__xludf.DUMMYFUNCTION("""COMPUTED_VALUE"""),"Spain")</f>
        <v>Spain</v>
      </c>
      <c r="G440" s="5" t="str">
        <f>IFERROR(__xludf.DUMMYFUNCTION("""COMPUTED_VALUE"""),"Soya beans")</f>
        <v>Soya beans</v>
      </c>
      <c r="H440" s="6">
        <f>IFERROR(__xludf.DUMMYFUNCTION("""COMPUTED_VALUE"""),21100.0)</f>
        <v>21100</v>
      </c>
      <c r="I440" s="7">
        <f>IFERROR(__xludf.DUMMYFUNCTION("""COMPUTED_VALUE"""),44931.0)</f>
        <v>44931</v>
      </c>
      <c r="J440" s="7">
        <f>IFERROR(__xludf.DUMMYFUNCTION("""COMPUTED_VALUE"""),44942.0)</f>
        <v>44942</v>
      </c>
      <c r="K440" s="5" t="str">
        <f>IFERROR(__xludf.DUMMYFUNCTION("""COMPUTED_VALUE"""),"high-income")</f>
        <v>high-income</v>
      </c>
      <c r="L440" s="5" t="str">
        <f>IFERROR(__xludf.DUMMYFUNCTION("""COMPUTED_VALUE"""),"Panama")</f>
        <v>Panama</v>
      </c>
      <c r="M440" s="5" t="str">
        <f>IFERROR(__xludf.DUMMYFUNCTION("""COMPUTED_VALUE"""),"Europe &amp; Central Asia")</f>
        <v>Europe &amp; Central Asia</v>
      </c>
      <c r="N440" s="5" t="str">
        <f>IFERROR(__xludf.DUMMYFUNCTION("""COMPUTED_VALUE"""),"Western Europe and Others")</f>
        <v>Western Europe and Others</v>
      </c>
      <c r="O440" s="5" t="str">
        <f>IFERROR(__xludf.DUMMYFUNCTION("""COMPUTED_VALUE"""),"developed")</f>
        <v>developed</v>
      </c>
      <c r="P440" s="5"/>
      <c r="Q440" s="5"/>
    </row>
    <row r="441">
      <c r="A441" s="5" t="str">
        <f>IFERROR(__xludf.DUMMYFUNCTION("""COMPUTED_VALUE"""),"Outbound")</f>
        <v>Outbound</v>
      </c>
      <c r="B441" s="5">
        <f>IFERROR(__xludf.DUMMYFUNCTION("""COMPUTED_VALUE"""),624.0)</f>
        <v>624</v>
      </c>
      <c r="C441" s="5" t="str">
        <f>IFERROR(__xludf.DUMMYFUNCTION("""COMPUTED_VALUE"""),"MAHA TANAYA")</f>
        <v>MAHA TANAYA</v>
      </c>
      <c r="D441" s="5">
        <f>IFERROR(__xludf.DUMMYFUNCTION("""COMPUTED_VALUE"""),9591181.0)</f>
        <v>9591181</v>
      </c>
      <c r="E441" s="5" t="str">
        <f>IFERROR(__xludf.DUMMYFUNCTION("""COMPUTED_VALUE"""),"Chornomorsk")</f>
        <v>Chornomorsk</v>
      </c>
      <c r="F441" s="5" t="str">
        <f>IFERROR(__xludf.DUMMYFUNCTION("""COMPUTED_VALUE"""),"China")</f>
        <v>China</v>
      </c>
      <c r="G441" s="5" t="str">
        <f>IFERROR(__xludf.DUMMYFUNCTION("""COMPUTED_VALUE"""),"Corn")</f>
        <v>Corn</v>
      </c>
      <c r="H441" s="6">
        <f>IFERROR(__xludf.DUMMYFUNCTION("""COMPUTED_VALUE"""),69145.0)</f>
        <v>69145</v>
      </c>
      <c r="I441" s="7">
        <f>IFERROR(__xludf.DUMMYFUNCTION("""COMPUTED_VALUE"""),44931.0)</f>
        <v>44931</v>
      </c>
      <c r="J441" s="7">
        <f>IFERROR(__xludf.DUMMYFUNCTION("""COMPUTED_VALUE"""),44939.0)</f>
        <v>44939</v>
      </c>
      <c r="K441" s="5" t="str">
        <f>IFERROR(__xludf.DUMMYFUNCTION("""COMPUTED_VALUE"""),"upper-middle-income")</f>
        <v>upper-middle-income</v>
      </c>
      <c r="L441" s="5" t="str">
        <f>IFERROR(__xludf.DUMMYFUNCTION("""COMPUTED_VALUE"""),"India")</f>
        <v>India</v>
      </c>
      <c r="M441" s="5" t="str">
        <f>IFERROR(__xludf.DUMMYFUNCTION("""COMPUTED_VALUE"""),"East Asia &amp; Pacific")</f>
        <v>East Asia &amp; Pacific</v>
      </c>
      <c r="N441" s="5" t="str">
        <f>IFERROR(__xludf.DUMMYFUNCTION("""COMPUTED_VALUE"""),"Asia-Pacific")</f>
        <v>Asia-Pacific</v>
      </c>
      <c r="O441" s="5" t="str">
        <f>IFERROR(__xludf.DUMMYFUNCTION("""COMPUTED_VALUE"""),"developing")</f>
        <v>developing</v>
      </c>
      <c r="P441" s="5"/>
      <c r="Q441" s="5"/>
    </row>
    <row r="442">
      <c r="A442" s="5" t="str">
        <f>IFERROR(__xludf.DUMMYFUNCTION("""COMPUTED_VALUE"""),"Outbound")</f>
        <v>Outbound</v>
      </c>
      <c r="B442" s="5">
        <f>IFERROR(__xludf.DUMMYFUNCTION("""COMPUTED_VALUE"""),623.0)</f>
        <v>623</v>
      </c>
      <c r="C442" s="5" t="str">
        <f>IFERROR(__xludf.DUMMYFUNCTION("""COMPUTED_VALUE"""),"SHEN YU 79")</f>
        <v>SHEN YU 79</v>
      </c>
      <c r="D442" s="5">
        <f>IFERROR(__xludf.DUMMYFUNCTION("""COMPUTED_VALUE"""),9228069.0)</f>
        <v>9228069</v>
      </c>
      <c r="E442" s="5" t="str">
        <f>IFERROR(__xludf.DUMMYFUNCTION("""COMPUTED_VALUE"""),"Chornomorsk")</f>
        <v>Chornomorsk</v>
      </c>
      <c r="F442" s="5" t="str">
        <f>IFERROR(__xludf.DUMMYFUNCTION("""COMPUTED_VALUE"""),"China")</f>
        <v>China</v>
      </c>
      <c r="G442" s="5" t="str">
        <f>IFERROR(__xludf.DUMMYFUNCTION("""COMPUTED_VALUE"""),"Corn")</f>
        <v>Corn</v>
      </c>
      <c r="H442" s="6">
        <f>IFERROR(__xludf.DUMMYFUNCTION("""COMPUTED_VALUE"""),64667.0)</f>
        <v>64667</v>
      </c>
      <c r="I442" s="7">
        <f>IFERROR(__xludf.DUMMYFUNCTION("""COMPUTED_VALUE"""),44930.0)</f>
        <v>44930</v>
      </c>
      <c r="J442" s="7">
        <f>IFERROR(__xludf.DUMMYFUNCTION("""COMPUTED_VALUE"""),44940.0)</f>
        <v>44940</v>
      </c>
      <c r="K442" s="5" t="str">
        <f>IFERROR(__xludf.DUMMYFUNCTION("""COMPUTED_VALUE"""),"upper-middle-income")</f>
        <v>upper-middle-income</v>
      </c>
      <c r="L442" s="5" t="str">
        <f>IFERROR(__xludf.DUMMYFUNCTION("""COMPUTED_VALUE"""),"Liberia")</f>
        <v>Liberia</v>
      </c>
      <c r="M442" s="5" t="str">
        <f>IFERROR(__xludf.DUMMYFUNCTION("""COMPUTED_VALUE"""),"East Asia &amp; Pacific")</f>
        <v>East Asia &amp; Pacific</v>
      </c>
      <c r="N442" s="5" t="str">
        <f>IFERROR(__xludf.DUMMYFUNCTION("""COMPUTED_VALUE"""),"Asia-Pacific")</f>
        <v>Asia-Pacific</v>
      </c>
      <c r="O442" s="5" t="str">
        <f>IFERROR(__xludf.DUMMYFUNCTION("""COMPUTED_VALUE"""),"developing")</f>
        <v>developing</v>
      </c>
      <c r="P442" s="5"/>
      <c r="Q442" s="5"/>
    </row>
    <row r="443">
      <c r="A443" s="5" t="str">
        <f>IFERROR(__xludf.DUMMYFUNCTION("""COMPUTED_VALUE"""),"Outbound")</f>
        <v>Outbound</v>
      </c>
      <c r="B443" s="5">
        <f>IFERROR(__xludf.DUMMYFUNCTION("""COMPUTED_VALUE"""),622.0)</f>
        <v>622</v>
      </c>
      <c r="C443" s="5" t="str">
        <f>IFERROR(__xludf.DUMMYFUNCTION("""COMPUTED_VALUE"""),"PRESIGNE")</f>
        <v>PRESIGNE</v>
      </c>
      <c r="D443" s="5">
        <f>IFERROR(__xludf.DUMMYFUNCTION("""COMPUTED_VALUE"""),9715452.0)</f>
        <v>9715452</v>
      </c>
      <c r="E443" s="5" t="str">
        <f>IFERROR(__xludf.DUMMYFUNCTION("""COMPUTED_VALUE"""),"Yuzhny/Pivdennyi")</f>
        <v>Yuzhny/Pivdennyi</v>
      </c>
      <c r="F443" s="5" t="str">
        <f>IFERROR(__xludf.DUMMYFUNCTION("""COMPUTED_VALUE"""),"China")</f>
        <v>China</v>
      </c>
      <c r="G443" s="5" t="str">
        <f>IFERROR(__xludf.DUMMYFUNCTION("""COMPUTED_VALUE"""),"Corn")</f>
        <v>Corn</v>
      </c>
      <c r="H443" s="6">
        <f>IFERROR(__xludf.DUMMYFUNCTION("""COMPUTED_VALUE"""),70514.0)</f>
        <v>70514</v>
      </c>
      <c r="I443" s="7">
        <f>IFERROR(__xludf.DUMMYFUNCTION("""COMPUTED_VALUE"""),44930.0)</f>
        <v>44930</v>
      </c>
      <c r="J443" s="7">
        <f>IFERROR(__xludf.DUMMYFUNCTION("""COMPUTED_VALUE"""),44938.0)</f>
        <v>44938</v>
      </c>
      <c r="K443" s="5" t="str">
        <f>IFERROR(__xludf.DUMMYFUNCTION("""COMPUTED_VALUE"""),"upper-middle-income")</f>
        <v>upper-middle-income</v>
      </c>
      <c r="L443" s="5" t="str">
        <f>IFERROR(__xludf.DUMMYFUNCTION("""COMPUTED_VALUE"""),"Marshall Islands")</f>
        <v>Marshall Islands</v>
      </c>
      <c r="M443" s="5" t="str">
        <f>IFERROR(__xludf.DUMMYFUNCTION("""COMPUTED_VALUE"""),"East Asia &amp; Pacific")</f>
        <v>East Asia &amp; Pacific</v>
      </c>
      <c r="N443" s="5" t="str">
        <f>IFERROR(__xludf.DUMMYFUNCTION("""COMPUTED_VALUE"""),"Asia-Pacific")</f>
        <v>Asia-Pacific</v>
      </c>
      <c r="O443" s="5" t="str">
        <f>IFERROR(__xludf.DUMMYFUNCTION("""COMPUTED_VALUE"""),"developing")</f>
        <v>developing</v>
      </c>
      <c r="P443" s="5"/>
      <c r="Q443" s="5"/>
    </row>
    <row r="444">
      <c r="A444" s="5" t="str">
        <f>IFERROR(__xludf.DUMMYFUNCTION("""COMPUTED_VALUE"""),"Outbound")</f>
        <v>Outbound</v>
      </c>
      <c r="B444" s="5">
        <f>IFERROR(__xludf.DUMMYFUNCTION("""COMPUTED_VALUE"""),621.0)</f>
        <v>621</v>
      </c>
      <c r="C444" s="5" t="str">
        <f>IFERROR(__xludf.DUMMYFUNCTION("""COMPUTED_VALUE"""),"MONA KH")</f>
        <v>MONA KH</v>
      </c>
      <c r="D444" s="5">
        <f>IFERROR(__xludf.DUMMYFUNCTION("""COMPUTED_VALUE"""),9187708.0)</f>
        <v>9187708</v>
      </c>
      <c r="E444" s="5" t="str">
        <f>IFERROR(__xludf.DUMMYFUNCTION("""COMPUTED_VALUE"""),"Yuzhny/Pivdennyi")</f>
        <v>Yuzhny/Pivdennyi</v>
      </c>
      <c r="F444" s="5" t="str">
        <f>IFERROR(__xludf.DUMMYFUNCTION("""COMPUTED_VALUE"""),"China")</f>
        <v>China</v>
      </c>
      <c r="G444" s="5" t="str">
        <f>IFERROR(__xludf.DUMMYFUNCTION("""COMPUTED_VALUE"""),"Corn")</f>
        <v>Corn</v>
      </c>
      <c r="H444" s="6">
        <f>IFERROR(__xludf.DUMMYFUNCTION("""COMPUTED_VALUE"""),44670.0)</f>
        <v>44670</v>
      </c>
      <c r="I444" s="7">
        <f>IFERROR(__xludf.DUMMYFUNCTION("""COMPUTED_VALUE"""),44930.0)</f>
        <v>44930</v>
      </c>
      <c r="J444" s="7">
        <f>IFERROR(__xludf.DUMMYFUNCTION("""COMPUTED_VALUE"""),44938.0)</f>
        <v>44938</v>
      </c>
      <c r="K444" s="5" t="str">
        <f>IFERROR(__xludf.DUMMYFUNCTION("""COMPUTED_VALUE"""),"upper-middle-income")</f>
        <v>upper-middle-income</v>
      </c>
      <c r="L444" s="5" t="str">
        <f>IFERROR(__xludf.DUMMYFUNCTION("""COMPUTED_VALUE"""),"Panama")</f>
        <v>Panama</v>
      </c>
      <c r="M444" s="5" t="str">
        <f>IFERROR(__xludf.DUMMYFUNCTION("""COMPUTED_VALUE"""),"East Asia &amp; Pacific")</f>
        <v>East Asia &amp; Pacific</v>
      </c>
      <c r="N444" s="5" t="str">
        <f>IFERROR(__xludf.DUMMYFUNCTION("""COMPUTED_VALUE"""),"Asia-Pacific")</f>
        <v>Asia-Pacific</v>
      </c>
      <c r="O444" s="5" t="str">
        <f>IFERROR(__xludf.DUMMYFUNCTION("""COMPUTED_VALUE"""),"developing")</f>
        <v>developing</v>
      </c>
      <c r="P444" s="5"/>
      <c r="Q444" s="5"/>
    </row>
    <row r="445">
      <c r="A445" s="5" t="str">
        <f>IFERROR(__xludf.DUMMYFUNCTION("""COMPUTED_VALUE"""),"Outbound +")</f>
        <v>Outbound +</v>
      </c>
      <c r="B445" s="5">
        <f>IFERROR(__xludf.DUMMYFUNCTION("""COMPUTED_VALUE"""),621.0)</f>
        <v>621</v>
      </c>
      <c r="C445" s="5" t="str">
        <f>IFERROR(__xludf.DUMMYFUNCTION("""COMPUTED_VALUE"""),"MONA KH")</f>
        <v>MONA KH</v>
      </c>
      <c r="D445" s="5">
        <f>IFERROR(__xludf.DUMMYFUNCTION("""COMPUTED_VALUE"""),9187708.0)</f>
        <v>9187708</v>
      </c>
      <c r="E445" s="5" t="str">
        <f>IFERROR(__xludf.DUMMYFUNCTION("""COMPUTED_VALUE"""),"Yuzhny/Pivdennyi")</f>
        <v>Yuzhny/Pivdennyi</v>
      </c>
      <c r="F445" s="5" t="str">
        <f>IFERROR(__xludf.DUMMYFUNCTION("""COMPUTED_VALUE"""),"China")</f>
        <v>China</v>
      </c>
      <c r="G445" s="5" t="str">
        <f>IFERROR(__xludf.DUMMYFUNCTION("""COMPUTED_VALUE"""),"Sunflower meal")</f>
        <v>Sunflower meal</v>
      </c>
      <c r="H445" s="6">
        <f>IFERROR(__xludf.DUMMYFUNCTION("""COMPUTED_VALUE"""),18000.0)</f>
        <v>18000</v>
      </c>
      <c r="I445" s="7">
        <f>IFERROR(__xludf.DUMMYFUNCTION("""COMPUTED_VALUE"""),44930.0)</f>
        <v>44930</v>
      </c>
      <c r="J445" s="7">
        <f>IFERROR(__xludf.DUMMYFUNCTION("""COMPUTED_VALUE"""),44938.0)</f>
        <v>44938</v>
      </c>
      <c r="K445" s="5" t="str">
        <f>IFERROR(__xludf.DUMMYFUNCTION("""COMPUTED_VALUE"""),"upper-middle-income")</f>
        <v>upper-middle-income</v>
      </c>
      <c r="L445" s="5" t="str">
        <f>IFERROR(__xludf.DUMMYFUNCTION("""COMPUTED_VALUE"""),"Panama")</f>
        <v>Panama</v>
      </c>
      <c r="M445" s="5" t="str">
        <f>IFERROR(__xludf.DUMMYFUNCTION("""COMPUTED_VALUE"""),"East Asia &amp; Pacific")</f>
        <v>East Asia &amp; Pacific</v>
      </c>
      <c r="N445" s="5" t="str">
        <f>IFERROR(__xludf.DUMMYFUNCTION("""COMPUTED_VALUE"""),"Asia-Pacific")</f>
        <v>Asia-Pacific</v>
      </c>
      <c r="O445" s="5" t="str">
        <f>IFERROR(__xludf.DUMMYFUNCTION("""COMPUTED_VALUE"""),"developing")</f>
        <v>developing</v>
      </c>
      <c r="P445" s="5"/>
      <c r="Q445" s="5"/>
    </row>
    <row r="446">
      <c r="A446" s="5" t="str">
        <f>IFERROR(__xludf.DUMMYFUNCTION("""COMPUTED_VALUE"""),"Outbound")</f>
        <v>Outbound</v>
      </c>
      <c r="B446" s="5">
        <f>IFERROR(__xludf.DUMMYFUNCTION("""COMPUTED_VALUE"""),620.0)</f>
        <v>620</v>
      </c>
      <c r="C446" s="5" t="str">
        <f>IFERROR(__xludf.DUMMYFUNCTION("""COMPUTED_VALUE"""),"VELVET")</f>
        <v>VELVET</v>
      </c>
      <c r="D446" s="5">
        <f>IFERROR(__xludf.DUMMYFUNCTION("""COMPUTED_VALUE"""),9826433.0)</f>
        <v>9826433</v>
      </c>
      <c r="E446" s="5" t="str">
        <f>IFERROR(__xludf.DUMMYFUNCTION("""COMPUTED_VALUE"""),"Odesa")</f>
        <v>Odesa</v>
      </c>
      <c r="F446" s="5" t="str">
        <f>IFERROR(__xludf.DUMMYFUNCTION("""COMPUTED_VALUE"""),"Bangladesh")</f>
        <v>Bangladesh</v>
      </c>
      <c r="G446" s="5" t="str">
        <f>IFERROR(__xludf.DUMMYFUNCTION("""COMPUTED_VALUE"""),"Wheat")</f>
        <v>Wheat</v>
      </c>
      <c r="H446" s="6">
        <f>IFERROR(__xludf.DUMMYFUNCTION("""COMPUTED_VALUE"""),57000.0)</f>
        <v>57000</v>
      </c>
      <c r="I446" s="7">
        <f>IFERROR(__xludf.DUMMYFUNCTION("""COMPUTED_VALUE"""),44929.0)</f>
        <v>44929</v>
      </c>
      <c r="J446" s="7">
        <f>IFERROR(__xludf.DUMMYFUNCTION("""COMPUTED_VALUE"""),44942.0)</f>
        <v>44942</v>
      </c>
      <c r="K446" s="5" t="str">
        <f>IFERROR(__xludf.DUMMYFUNCTION("""COMPUTED_VALUE"""),"lower-middle income")</f>
        <v>lower-middle income</v>
      </c>
      <c r="L446" s="5" t="str">
        <f>IFERROR(__xludf.DUMMYFUNCTION("""COMPUTED_VALUE"""),"Liberia")</f>
        <v>Liberia</v>
      </c>
      <c r="M446" s="5" t="str">
        <f>IFERROR(__xludf.DUMMYFUNCTION("""COMPUTED_VALUE"""),"South Asia")</f>
        <v>South Asia</v>
      </c>
      <c r="N446" s="5" t="str">
        <f>IFERROR(__xludf.DUMMYFUNCTION("""COMPUTED_VALUE"""),"Asia-Pacific")</f>
        <v>Asia-Pacific</v>
      </c>
      <c r="O446" s="5" t="str">
        <f>IFERROR(__xludf.DUMMYFUNCTION("""COMPUTED_VALUE"""),"developing")</f>
        <v>developing</v>
      </c>
      <c r="P446" s="5"/>
      <c r="Q446" s="5"/>
    </row>
    <row r="447">
      <c r="A447" s="5" t="str">
        <f>IFERROR(__xludf.DUMMYFUNCTION("""COMPUTED_VALUE"""),"Outbound")</f>
        <v>Outbound</v>
      </c>
      <c r="B447" s="5">
        <f>IFERROR(__xludf.DUMMYFUNCTION("""COMPUTED_VALUE"""),619.0)</f>
        <v>619</v>
      </c>
      <c r="C447" s="5" t="str">
        <f>IFERROR(__xludf.DUMMYFUNCTION("""COMPUTED_VALUE"""),"SUPER ODEGAARD")</f>
        <v>SUPER ODEGAARD</v>
      </c>
      <c r="D447" s="5">
        <f>IFERROR(__xludf.DUMMYFUNCTION("""COMPUTED_VALUE"""),9479046.0)</f>
        <v>9479046</v>
      </c>
      <c r="E447" s="5" t="str">
        <f>IFERROR(__xludf.DUMMYFUNCTION("""COMPUTED_VALUE"""),"Chornomorsk")</f>
        <v>Chornomorsk</v>
      </c>
      <c r="F447" s="5" t="str">
        <f>IFERROR(__xludf.DUMMYFUNCTION("""COMPUTED_VALUE"""),"China")</f>
        <v>China</v>
      </c>
      <c r="G447" s="5" t="str">
        <f>IFERROR(__xludf.DUMMYFUNCTION("""COMPUTED_VALUE"""),"Sunflower meal")</f>
        <v>Sunflower meal</v>
      </c>
      <c r="H447" s="6">
        <f>IFERROR(__xludf.DUMMYFUNCTION("""COMPUTED_VALUE"""),35000.0)</f>
        <v>35000</v>
      </c>
      <c r="I447" s="7">
        <f>IFERROR(__xludf.DUMMYFUNCTION("""COMPUTED_VALUE"""),44929.0)</f>
        <v>44929</v>
      </c>
      <c r="J447" s="7">
        <f>IFERROR(__xludf.DUMMYFUNCTION("""COMPUTED_VALUE"""),44941.0)</f>
        <v>44941</v>
      </c>
      <c r="K447" s="5" t="str">
        <f>IFERROR(__xludf.DUMMYFUNCTION("""COMPUTED_VALUE"""),"upper-middle-income")</f>
        <v>upper-middle-income</v>
      </c>
      <c r="L447" s="5" t="str">
        <f>IFERROR(__xludf.DUMMYFUNCTION("""COMPUTED_VALUE"""),"Panama")</f>
        <v>Panama</v>
      </c>
      <c r="M447" s="5" t="str">
        <f>IFERROR(__xludf.DUMMYFUNCTION("""COMPUTED_VALUE"""),"East Asia &amp; Pacific")</f>
        <v>East Asia &amp; Pacific</v>
      </c>
      <c r="N447" s="5" t="str">
        <f>IFERROR(__xludf.DUMMYFUNCTION("""COMPUTED_VALUE"""),"Asia-Pacific")</f>
        <v>Asia-Pacific</v>
      </c>
      <c r="O447" s="5" t="str">
        <f>IFERROR(__xludf.DUMMYFUNCTION("""COMPUTED_VALUE"""),"developing")</f>
        <v>developing</v>
      </c>
      <c r="P447" s="5"/>
      <c r="Q447" s="5"/>
    </row>
    <row r="448">
      <c r="A448" s="5" t="str">
        <f>IFERROR(__xludf.DUMMYFUNCTION("""COMPUTED_VALUE"""),"Outbound")</f>
        <v>Outbound</v>
      </c>
      <c r="B448" s="5">
        <f>IFERROR(__xludf.DUMMYFUNCTION("""COMPUTED_VALUE"""),618.0)</f>
        <v>618</v>
      </c>
      <c r="C448" s="5" t="str">
        <f>IFERROR(__xludf.DUMMYFUNCTION("""COMPUTED_VALUE"""),"SELIN D")</f>
        <v>SELIN D</v>
      </c>
      <c r="D448" s="5">
        <f>IFERROR(__xludf.DUMMYFUNCTION("""COMPUTED_VALUE"""),9221786.0)</f>
        <v>9221786</v>
      </c>
      <c r="E448" s="5" t="str">
        <f>IFERROR(__xludf.DUMMYFUNCTION("""COMPUTED_VALUE"""),"Odesa")</f>
        <v>Odesa</v>
      </c>
      <c r="F448" s="5" t="str">
        <f>IFERROR(__xludf.DUMMYFUNCTION("""COMPUTED_VALUE"""),"Türkiye")</f>
        <v>Türkiye</v>
      </c>
      <c r="G448" s="5" t="str">
        <f>IFERROR(__xludf.DUMMYFUNCTION("""COMPUTED_VALUE"""),"Sunflower oil")</f>
        <v>Sunflower oil</v>
      </c>
      <c r="H448" s="6">
        <f>IFERROR(__xludf.DUMMYFUNCTION("""COMPUTED_VALUE"""),6000.0)</f>
        <v>6000</v>
      </c>
      <c r="I448" s="7">
        <f>IFERROR(__xludf.DUMMYFUNCTION("""COMPUTED_VALUE"""),44928.0)</f>
        <v>44928</v>
      </c>
      <c r="J448" s="7">
        <f>IFERROR(__xludf.DUMMYFUNCTION("""COMPUTED_VALUE"""),44938.0)</f>
        <v>44938</v>
      </c>
      <c r="K448" s="5" t="str">
        <f>IFERROR(__xludf.DUMMYFUNCTION("""COMPUTED_VALUE"""),"upper-middle-income")</f>
        <v>upper-middle-income</v>
      </c>
      <c r="L448" s="5" t="str">
        <f>IFERROR(__xludf.DUMMYFUNCTION("""COMPUTED_VALUE"""),"Malta")</f>
        <v>Malta</v>
      </c>
      <c r="M448" s="5" t="str">
        <f>IFERROR(__xludf.DUMMYFUNCTION("""COMPUTED_VALUE"""),"Europe &amp; Central Asia")</f>
        <v>Europe &amp; Central Asia</v>
      </c>
      <c r="N448" s="5" t="str">
        <f>IFERROR(__xludf.DUMMYFUNCTION("""COMPUTED_VALUE"""),"Asia-Pacific")</f>
        <v>Asia-Pacific</v>
      </c>
      <c r="O448" s="5" t="str">
        <f>IFERROR(__xludf.DUMMYFUNCTION("""COMPUTED_VALUE"""),"developing")</f>
        <v>developing</v>
      </c>
      <c r="P448" s="5"/>
      <c r="Q448" s="5"/>
    </row>
    <row r="449">
      <c r="A449" s="5" t="str">
        <f>IFERROR(__xludf.DUMMYFUNCTION("""COMPUTED_VALUE"""),"Outbound")</f>
        <v>Outbound</v>
      </c>
      <c r="B449" s="5">
        <f>IFERROR(__xludf.DUMMYFUNCTION("""COMPUTED_VALUE"""),617.0)</f>
        <v>617</v>
      </c>
      <c r="C449" s="5" t="str">
        <f>IFERROR(__xludf.DUMMYFUNCTION("""COMPUTED_VALUE"""),"XIN SHUN")</f>
        <v>XIN SHUN</v>
      </c>
      <c r="D449" s="5">
        <f>IFERROR(__xludf.DUMMYFUNCTION("""COMPUTED_VALUE"""),9252199.0)</f>
        <v>9252199</v>
      </c>
      <c r="E449" s="5" t="str">
        <f>IFERROR(__xludf.DUMMYFUNCTION("""COMPUTED_VALUE"""),"Odesa")</f>
        <v>Odesa</v>
      </c>
      <c r="F449" s="5" t="str">
        <f>IFERROR(__xludf.DUMMYFUNCTION("""COMPUTED_VALUE"""),"The Netherlands")</f>
        <v>The Netherlands</v>
      </c>
      <c r="G449" s="5" t="str">
        <f>IFERROR(__xludf.DUMMYFUNCTION("""COMPUTED_VALUE"""),"Soya beans")</f>
        <v>Soya beans</v>
      </c>
      <c r="H449" s="6">
        <f>IFERROR(__xludf.DUMMYFUNCTION("""COMPUTED_VALUE"""),46700.0)</f>
        <v>46700</v>
      </c>
      <c r="I449" s="7">
        <f>IFERROR(__xludf.DUMMYFUNCTION("""COMPUTED_VALUE"""),44927.0)</f>
        <v>44927</v>
      </c>
      <c r="J449" s="7">
        <f>IFERROR(__xludf.DUMMYFUNCTION("""COMPUTED_VALUE"""),44934.0)</f>
        <v>44934</v>
      </c>
      <c r="K449" s="5" t="str">
        <f>IFERROR(__xludf.DUMMYFUNCTION("""COMPUTED_VALUE"""),"high-income")</f>
        <v>high-income</v>
      </c>
      <c r="L449" s="5" t="str">
        <f>IFERROR(__xludf.DUMMYFUNCTION("""COMPUTED_VALUE"""),"Panama")</f>
        <v>Panama</v>
      </c>
      <c r="M449" s="5" t="str">
        <f>IFERROR(__xludf.DUMMYFUNCTION("""COMPUTED_VALUE"""),"Europe &amp; Central Asia")</f>
        <v>Europe &amp; Central Asia</v>
      </c>
      <c r="N449" s="5" t="str">
        <f>IFERROR(__xludf.DUMMYFUNCTION("""COMPUTED_VALUE"""),"Western Europe and Others")</f>
        <v>Western Europe and Others</v>
      </c>
      <c r="O449" s="5" t="str">
        <f>IFERROR(__xludf.DUMMYFUNCTION("""COMPUTED_VALUE"""),"developed")</f>
        <v>developed</v>
      </c>
      <c r="P449" s="5"/>
      <c r="Q449" s="5"/>
    </row>
    <row r="450">
      <c r="A450" s="5" t="str">
        <f>IFERROR(__xludf.DUMMYFUNCTION("""COMPUTED_VALUE"""),"Outbound +")</f>
        <v>Outbound +</v>
      </c>
      <c r="B450" s="5">
        <f>IFERROR(__xludf.DUMMYFUNCTION("""COMPUTED_VALUE"""),617.0)</f>
        <v>617</v>
      </c>
      <c r="C450" s="5" t="str">
        <f>IFERROR(__xludf.DUMMYFUNCTION("""COMPUTED_VALUE"""),"XIN SHUN")</f>
        <v>XIN SHUN</v>
      </c>
      <c r="D450" s="5">
        <f>IFERROR(__xludf.DUMMYFUNCTION("""COMPUTED_VALUE"""),9252199.0)</f>
        <v>9252199</v>
      </c>
      <c r="E450" s="5" t="str">
        <f>IFERROR(__xludf.DUMMYFUNCTION("""COMPUTED_VALUE"""),"Odesa")</f>
        <v>Odesa</v>
      </c>
      <c r="F450" s="5" t="str">
        <f>IFERROR(__xludf.DUMMYFUNCTION("""COMPUTED_VALUE"""),"The Netherlands")</f>
        <v>The Netherlands</v>
      </c>
      <c r="G450" s="5" t="str">
        <f>IFERROR(__xludf.DUMMYFUNCTION("""COMPUTED_VALUE"""),"Sunflower seed")</f>
        <v>Sunflower seed</v>
      </c>
      <c r="H450" s="6">
        <f>IFERROR(__xludf.DUMMYFUNCTION("""COMPUTED_VALUE"""),10600.0)</f>
        <v>10600</v>
      </c>
      <c r="I450" s="7">
        <f>IFERROR(__xludf.DUMMYFUNCTION("""COMPUTED_VALUE"""),44927.0)</f>
        <v>44927</v>
      </c>
      <c r="J450" s="7">
        <f>IFERROR(__xludf.DUMMYFUNCTION("""COMPUTED_VALUE"""),44934.0)</f>
        <v>44934</v>
      </c>
      <c r="K450" s="5" t="str">
        <f>IFERROR(__xludf.DUMMYFUNCTION("""COMPUTED_VALUE"""),"high-income")</f>
        <v>high-income</v>
      </c>
      <c r="L450" s="5" t="str">
        <f>IFERROR(__xludf.DUMMYFUNCTION("""COMPUTED_VALUE"""),"Panama")</f>
        <v>Panama</v>
      </c>
      <c r="M450" s="5" t="str">
        <f>IFERROR(__xludf.DUMMYFUNCTION("""COMPUTED_VALUE"""),"Europe &amp; Central Asia")</f>
        <v>Europe &amp; Central Asia</v>
      </c>
      <c r="N450" s="5" t="str">
        <f>IFERROR(__xludf.DUMMYFUNCTION("""COMPUTED_VALUE"""),"Western Europe and Others")</f>
        <v>Western Europe and Others</v>
      </c>
      <c r="O450" s="5" t="str">
        <f>IFERROR(__xludf.DUMMYFUNCTION("""COMPUTED_VALUE"""),"developed")</f>
        <v>developed</v>
      </c>
      <c r="P450" s="5"/>
      <c r="Q450" s="5"/>
    </row>
    <row r="451">
      <c r="A451" s="5" t="str">
        <f>IFERROR(__xludf.DUMMYFUNCTION("""COMPUTED_VALUE"""),"Outbound")</f>
        <v>Outbound</v>
      </c>
      <c r="B451" s="5">
        <f>IFERROR(__xludf.DUMMYFUNCTION("""COMPUTED_VALUE"""),616.0)</f>
        <v>616</v>
      </c>
      <c r="C451" s="5" t="str">
        <f>IFERROR(__xludf.DUMMYFUNCTION("""COMPUTED_VALUE"""),"PANTHER MAX")</f>
        <v>PANTHER MAX</v>
      </c>
      <c r="D451" s="5">
        <f>IFERROR(__xludf.DUMMYFUNCTION("""COMPUTED_VALUE"""),9593402.0)</f>
        <v>9593402</v>
      </c>
      <c r="E451" s="5" t="str">
        <f>IFERROR(__xludf.DUMMYFUNCTION("""COMPUTED_VALUE"""),"Yuzhny/Pivdennyi")</f>
        <v>Yuzhny/Pivdennyi</v>
      </c>
      <c r="F451" s="5" t="str">
        <f>IFERROR(__xludf.DUMMYFUNCTION("""COMPUTED_VALUE"""),"Israel")</f>
        <v>Israel</v>
      </c>
      <c r="G451" s="5" t="str">
        <f>IFERROR(__xludf.DUMMYFUNCTION("""COMPUTED_VALUE"""),"Corn")</f>
        <v>Corn</v>
      </c>
      <c r="H451" s="6">
        <f>IFERROR(__xludf.DUMMYFUNCTION("""COMPUTED_VALUE"""),68390.0)</f>
        <v>68390</v>
      </c>
      <c r="I451" s="7">
        <f>IFERROR(__xludf.DUMMYFUNCTION("""COMPUTED_VALUE"""),44927.0)</f>
        <v>44927</v>
      </c>
      <c r="J451" s="7">
        <f>IFERROR(__xludf.DUMMYFUNCTION("""COMPUTED_VALUE"""),44937.0)</f>
        <v>44937</v>
      </c>
      <c r="K451" s="5" t="str">
        <f>IFERROR(__xludf.DUMMYFUNCTION("""COMPUTED_VALUE"""),"high-income")</f>
        <v>high-income</v>
      </c>
      <c r="L451" s="5" t="str">
        <f>IFERROR(__xludf.DUMMYFUNCTION("""COMPUTED_VALUE"""),"Bahamas")</f>
        <v>Bahamas</v>
      </c>
      <c r="M451" s="5" t="str">
        <f>IFERROR(__xludf.DUMMYFUNCTION("""COMPUTED_VALUE"""),"Middle East &amp; North Africa")</f>
        <v>Middle East &amp; North Africa</v>
      </c>
      <c r="N451" s="5" t="str">
        <f>IFERROR(__xludf.DUMMYFUNCTION("""COMPUTED_VALUE"""),"Western Europe and Others")</f>
        <v>Western Europe and Others</v>
      </c>
      <c r="O451" s="5" t="str">
        <f>IFERROR(__xludf.DUMMYFUNCTION("""COMPUTED_VALUE"""),"developed")</f>
        <v>developed</v>
      </c>
      <c r="P451" s="5"/>
      <c r="Q451" s="5"/>
    </row>
    <row r="452">
      <c r="A452" s="5" t="str">
        <f>IFERROR(__xludf.DUMMYFUNCTION("""COMPUTED_VALUE"""),"Outbound")</f>
        <v>Outbound</v>
      </c>
      <c r="B452" s="5">
        <f>IFERROR(__xludf.DUMMYFUNCTION("""COMPUTED_VALUE"""),615.0)</f>
        <v>615</v>
      </c>
      <c r="C452" s="5" t="str">
        <f>IFERROR(__xludf.DUMMYFUNCTION("""COMPUTED_VALUE"""),"HONORINE")</f>
        <v>HONORINE</v>
      </c>
      <c r="D452" s="5">
        <f>IFERROR(__xludf.DUMMYFUNCTION("""COMPUTED_VALUE"""),9146874.0)</f>
        <v>9146874</v>
      </c>
      <c r="E452" s="5" t="str">
        <f>IFERROR(__xludf.DUMMYFUNCTION("""COMPUTED_VALUE"""),"Odesa")</f>
        <v>Odesa</v>
      </c>
      <c r="F452" s="5" t="str">
        <f>IFERROR(__xludf.DUMMYFUNCTION("""COMPUTED_VALUE"""),"Tunisia")</f>
        <v>Tunisia</v>
      </c>
      <c r="G452" s="5" t="str">
        <f>IFERROR(__xludf.DUMMYFUNCTION("""COMPUTED_VALUE"""),"Corn")</f>
        <v>Corn</v>
      </c>
      <c r="H452" s="6">
        <f>IFERROR(__xludf.DUMMYFUNCTION("""COMPUTED_VALUE"""),27500.0)</f>
        <v>27500</v>
      </c>
      <c r="I452" s="7">
        <f>IFERROR(__xludf.DUMMYFUNCTION("""COMPUTED_VALUE"""),44927.0)</f>
        <v>44927</v>
      </c>
      <c r="J452" s="7">
        <f>IFERROR(__xludf.DUMMYFUNCTION("""COMPUTED_VALUE"""),44938.0)</f>
        <v>44938</v>
      </c>
      <c r="K452" s="5" t="str">
        <f>IFERROR(__xludf.DUMMYFUNCTION("""COMPUTED_VALUE"""),"lower-middle income")</f>
        <v>lower-middle income</v>
      </c>
      <c r="L452" s="5" t="str">
        <f>IFERROR(__xludf.DUMMYFUNCTION("""COMPUTED_VALUE"""),"Malta")</f>
        <v>Malta</v>
      </c>
      <c r="M452" s="5" t="str">
        <f>IFERROR(__xludf.DUMMYFUNCTION("""COMPUTED_VALUE"""),"Middle East &amp; North Africa")</f>
        <v>Middle East &amp; North Africa</v>
      </c>
      <c r="N452" s="5" t="str">
        <f>IFERROR(__xludf.DUMMYFUNCTION("""COMPUTED_VALUE"""),"Africa")</f>
        <v>Africa</v>
      </c>
      <c r="O452" s="5" t="str">
        <f>IFERROR(__xludf.DUMMYFUNCTION("""COMPUTED_VALUE"""),"developing")</f>
        <v>developing</v>
      </c>
      <c r="P452" s="5"/>
      <c r="Q452" s="5"/>
    </row>
    <row r="453">
      <c r="A453" s="5" t="str">
        <f>IFERROR(__xludf.DUMMYFUNCTION("""COMPUTED_VALUE"""),"Outbound")</f>
        <v>Outbound</v>
      </c>
      <c r="B453" s="5">
        <f>IFERROR(__xludf.DUMMYFUNCTION("""COMPUTED_VALUE"""),614.0)</f>
        <v>614</v>
      </c>
      <c r="C453" s="5" t="str">
        <f>IFERROR(__xludf.DUMMYFUNCTION("""COMPUTED_VALUE"""),"GAT FEELING")</f>
        <v>GAT FEELING</v>
      </c>
      <c r="D453" s="5">
        <f>IFERROR(__xludf.DUMMYFUNCTION("""COMPUTED_VALUE"""),9467615.0)</f>
        <v>9467615</v>
      </c>
      <c r="E453" s="5" t="str">
        <f>IFERROR(__xludf.DUMMYFUNCTION("""COMPUTED_VALUE"""),"Chornomorsk")</f>
        <v>Chornomorsk</v>
      </c>
      <c r="F453" s="5" t="str">
        <f>IFERROR(__xludf.DUMMYFUNCTION("""COMPUTED_VALUE"""),"Spain")</f>
        <v>Spain</v>
      </c>
      <c r="G453" s="5" t="str">
        <f>IFERROR(__xludf.DUMMYFUNCTION("""COMPUTED_VALUE"""),"Wheat")</f>
        <v>Wheat</v>
      </c>
      <c r="H453" s="6">
        <f>IFERROR(__xludf.DUMMYFUNCTION("""COMPUTED_VALUE"""),31600.0)</f>
        <v>31600</v>
      </c>
      <c r="I453" s="7">
        <f>IFERROR(__xludf.DUMMYFUNCTION("""COMPUTED_VALUE"""),44927.0)</f>
        <v>44927</v>
      </c>
      <c r="J453" s="7">
        <f>IFERROR(__xludf.DUMMYFUNCTION("""COMPUTED_VALUE"""),44934.0)</f>
        <v>44934</v>
      </c>
      <c r="K453" s="5" t="str">
        <f>IFERROR(__xludf.DUMMYFUNCTION("""COMPUTED_VALUE"""),"high-income")</f>
        <v>high-income</v>
      </c>
      <c r="L453" s="5" t="str">
        <f>IFERROR(__xludf.DUMMYFUNCTION("""COMPUTED_VALUE"""),"Marshall Islands")</f>
        <v>Marshall Islands</v>
      </c>
      <c r="M453" s="5" t="str">
        <f>IFERROR(__xludf.DUMMYFUNCTION("""COMPUTED_VALUE"""),"Europe &amp; Central Asia")</f>
        <v>Europe &amp; Central Asia</v>
      </c>
      <c r="N453" s="5" t="str">
        <f>IFERROR(__xludf.DUMMYFUNCTION("""COMPUTED_VALUE"""),"Western Europe and Others")</f>
        <v>Western Europe and Others</v>
      </c>
      <c r="O453" s="5" t="str">
        <f>IFERROR(__xludf.DUMMYFUNCTION("""COMPUTED_VALUE"""),"developed")</f>
        <v>developed</v>
      </c>
      <c r="P453" s="5"/>
      <c r="Q453" s="5"/>
    </row>
    <row r="454">
      <c r="A454" s="5" t="str">
        <f>IFERROR(__xludf.DUMMYFUNCTION("""COMPUTED_VALUE"""),"Outbound")</f>
        <v>Outbound</v>
      </c>
      <c r="B454" s="5">
        <f>IFERROR(__xludf.DUMMYFUNCTION("""COMPUTED_VALUE"""),613.0)</f>
        <v>613</v>
      </c>
      <c r="C454" s="5" t="str">
        <f>IFERROR(__xludf.DUMMYFUNCTION("""COMPUTED_VALUE"""),"CHRYSSA K")</f>
        <v>CHRYSSA K</v>
      </c>
      <c r="D454" s="5">
        <f>IFERROR(__xludf.DUMMYFUNCTION("""COMPUTED_VALUE"""),9595852.0)</f>
        <v>9595852</v>
      </c>
      <c r="E454" s="5" t="str">
        <f>IFERROR(__xludf.DUMMYFUNCTION("""COMPUTED_VALUE"""),"Yuzhny/Pivdennyi")</f>
        <v>Yuzhny/Pivdennyi</v>
      </c>
      <c r="F454" s="5" t="str">
        <f>IFERROR(__xludf.DUMMYFUNCTION("""COMPUTED_VALUE"""),"China")</f>
        <v>China</v>
      </c>
      <c r="G454" s="5" t="str">
        <f>IFERROR(__xludf.DUMMYFUNCTION("""COMPUTED_VALUE"""),"Corn")</f>
        <v>Corn</v>
      </c>
      <c r="H454" s="6">
        <f>IFERROR(__xludf.DUMMYFUNCTION("""COMPUTED_VALUE"""),69170.0)</f>
        <v>69170</v>
      </c>
      <c r="I454" s="7">
        <f>IFERROR(__xludf.DUMMYFUNCTION("""COMPUTED_VALUE"""),44927.0)</f>
        <v>44927</v>
      </c>
      <c r="J454" s="7">
        <f>IFERROR(__xludf.DUMMYFUNCTION("""COMPUTED_VALUE"""),44935.0)</f>
        <v>44935</v>
      </c>
      <c r="K454" s="5" t="str">
        <f>IFERROR(__xludf.DUMMYFUNCTION("""COMPUTED_VALUE"""),"upper-middle-income")</f>
        <v>upper-middle-income</v>
      </c>
      <c r="L454" s="5" t="str">
        <f>IFERROR(__xludf.DUMMYFUNCTION("""COMPUTED_VALUE"""),"Liberia")</f>
        <v>Liberia</v>
      </c>
      <c r="M454" s="5" t="str">
        <f>IFERROR(__xludf.DUMMYFUNCTION("""COMPUTED_VALUE"""),"East Asia &amp; Pacific")</f>
        <v>East Asia &amp; Pacific</v>
      </c>
      <c r="N454" s="5" t="str">
        <f>IFERROR(__xludf.DUMMYFUNCTION("""COMPUTED_VALUE"""),"Asia-Pacific")</f>
        <v>Asia-Pacific</v>
      </c>
      <c r="O454" s="5" t="str">
        <f>IFERROR(__xludf.DUMMYFUNCTION("""COMPUTED_VALUE"""),"developing")</f>
        <v>developing</v>
      </c>
      <c r="P454" s="5"/>
      <c r="Q454" s="5"/>
    </row>
    <row r="455">
      <c r="A455" s="5" t="str">
        <f>IFERROR(__xludf.DUMMYFUNCTION("""COMPUTED_VALUE"""),"Outbound")</f>
        <v>Outbound</v>
      </c>
      <c r="B455" s="5">
        <f>IFERROR(__xludf.DUMMYFUNCTION("""COMPUTED_VALUE"""),612.0)</f>
        <v>612</v>
      </c>
      <c r="C455" s="5" t="str">
        <f>IFERROR(__xludf.DUMMYFUNCTION("""COMPUTED_VALUE"""),"WHITE FIN")</f>
        <v>WHITE FIN</v>
      </c>
      <c r="D455" s="5">
        <f>IFERROR(__xludf.DUMMYFUNCTION("""COMPUTED_VALUE"""),9607291.0)</f>
        <v>9607291</v>
      </c>
      <c r="E455" s="5" t="str">
        <f>IFERROR(__xludf.DUMMYFUNCTION("""COMPUTED_VALUE"""),"Odesa")</f>
        <v>Odesa</v>
      </c>
      <c r="F455" s="5" t="str">
        <f>IFERROR(__xludf.DUMMYFUNCTION("""COMPUTED_VALUE"""),"China")</f>
        <v>China</v>
      </c>
      <c r="G455" s="5" t="str">
        <f>IFERROR(__xludf.DUMMYFUNCTION("""COMPUTED_VALUE"""),"Corn")</f>
        <v>Corn</v>
      </c>
      <c r="H455" s="6">
        <f>IFERROR(__xludf.DUMMYFUNCTION("""COMPUTED_VALUE"""),52700.0)</f>
        <v>52700</v>
      </c>
      <c r="I455" s="7">
        <f>IFERROR(__xludf.DUMMYFUNCTION("""COMPUTED_VALUE"""),44926.0)</f>
        <v>44926</v>
      </c>
      <c r="J455" s="7">
        <f>IFERROR(__xludf.DUMMYFUNCTION("""COMPUTED_VALUE"""),44935.0)</f>
        <v>44935</v>
      </c>
      <c r="K455" s="5" t="str">
        <f>IFERROR(__xludf.DUMMYFUNCTION("""COMPUTED_VALUE"""),"upper-middle-income")</f>
        <v>upper-middle-income</v>
      </c>
      <c r="L455" s="5" t="str">
        <f>IFERROR(__xludf.DUMMYFUNCTION("""COMPUTED_VALUE"""),"Malta")</f>
        <v>Malta</v>
      </c>
      <c r="M455" s="5" t="str">
        <f>IFERROR(__xludf.DUMMYFUNCTION("""COMPUTED_VALUE"""),"East Asia &amp; Pacific")</f>
        <v>East Asia &amp; Pacific</v>
      </c>
      <c r="N455" s="5" t="str">
        <f>IFERROR(__xludf.DUMMYFUNCTION("""COMPUTED_VALUE"""),"Asia-Pacific")</f>
        <v>Asia-Pacific</v>
      </c>
      <c r="O455" s="5" t="str">
        <f>IFERROR(__xludf.DUMMYFUNCTION("""COMPUTED_VALUE"""),"developing")</f>
        <v>developing</v>
      </c>
      <c r="P455" s="5"/>
      <c r="Q455" s="5"/>
    </row>
    <row r="456">
      <c r="A456" s="5" t="str">
        <f>IFERROR(__xludf.DUMMYFUNCTION("""COMPUTED_VALUE"""),"Outbound")</f>
        <v>Outbound</v>
      </c>
      <c r="B456" s="5">
        <f>IFERROR(__xludf.DUMMYFUNCTION("""COMPUTED_VALUE"""),611.0)</f>
        <v>611</v>
      </c>
      <c r="C456" s="5" t="str">
        <f>IFERROR(__xludf.DUMMYFUNCTION("""COMPUTED_VALUE"""),"POPI S")</f>
        <v>POPI S</v>
      </c>
      <c r="D456" s="5">
        <f>IFERROR(__xludf.DUMMYFUNCTION("""COMPUTED_VALUE"""),9527233.0)</f>
        <v>9527233</v>
      </c>
      <c r="E456" s="5" t="str">
        <f>IFERROR(__xludf.DUMMYFUNCTION("""COMPUTED_VALUE"""),"Chornomorsk")</f>
        <v>Chornomorsk</v>
      </c>
      <c r="F456" s="5" t="str">
        <f>IFERROR(__xludf.DUMMYFUNCTION("""COMPUTED_VALUE"""),"Belgium")</f>
        <v>Belgium</v>
      </c>
      <c r="G456" s="5" t="str">
        <f>IFERROR(__xludf.DUMMYFUNCTION("""COMPUTED_VALUE"""),"Corn")</f>
        <v>Corn</v>
      </c>
      <c r="H456" s="6">
        <f>IFERROR(__xludf.DUMMYFUNCTION("""COMPUTED_VALUE"""),62430.0)</f>
        <v>62430</v>
      </c>
      <c r="I456" s="7">
        <f>IFERROR(__xludf.DUMMYFUNCTION("""COMPUTED_VALUE"""),44926.0)</f>
        <v>44926</v>
      </c>
      <c r="J456" s="7">
        <f>IFERROR(__xludf.DUMMYFUNCTION("""COMPUTED_VALUE"""),44937.0)</f>
        <v>44937</v>
      </c>
      <c r="K456" s="5" t="str">
        <f>IFERROR(__xludf.DUMMYFUNCTION("""COMPUTED_VALUE"""),"high-income")</f>
        <v>high-income</v>
      </c>
      <c r="L456" s="5" t="str">
        <f>IFERROR(__xludf.DUMMYFUNCTION("""COMPUTED_VALUE"""),"Liberia")</f>
        <v>Liberia</v>
      </c>
      <c r="M456" s="5" t="str">
        <f>IFERROR(__xludf.DUMMYFUNCTION("""COMPUTED_VALUE"""),"Europe &amp; Central Asia")</f>
        <v>Europe &amp; Central Asia</v>
      </c>
      <c r="N456" s="5" t="str">
        <f>IFERROR(__xludf.DUMMYFUNCTION("""COMPUTED_VALUE"""),"Western Europe and Others")</f>
        <v>Western Europe and Others</v>
      </c>
      <c r="O456" s="5" t="str">
        <f>IFERROR(__xludf.DUMMYFUNCTION("""COMPUTED_VALUE"""),"developed")</f>
        <v>developed</v>
      </c>
      <c r="P456" s="5"/>
      <c r="Q456" s="5"/>
    </row>
    <row r="457">
      <c r="A457" s="5" t="str">
        <f>IFERROR(__xludf.DUMMYFUNCTION("""COMPUTED_VALUE"""),"Outbound")</f>
        <v>Outbound</v>
      </c>
      <c r="B457" s="5">
        <f>IFERROR(__xludf.DUMMYFUNCTION("""COMPUTED_VALUE"""),610.0)</f>
        <v>610</v>
      </c>
      <c r="C457" s="5" t="str">
        <f>IFERROR(__xludf.DUMMYFUNCTION("""COMPUTED_VALUE"""),"SEYMA")</f>
        <v>SEYMA</v>
      </c>
      <c r="D457" s="5">
        <f>IFERROR(__xludf.DUMMYFUNCTION("""COMPUTED_VALUE"""),9596777.0)</f>
        <v>9596777</v>
      </c>
      <c r="E457" s="5" t="str">
        <f>IFERROR(__xludf.DUMMYFUNCTION("""COMPUTED_VALUE"""),"Yuzhny/Pivdennyi")</f>
        <v>Yuzhny/Pivdennyi</v>
      </c>
      <c r="F457" s="5" t="str">
        <f>IFERROR(__xludf.DUMMYFUNCTION("""COMPUTED_VALUE"""),"United Kingdom")</f>
        <v>United Kingdom</v>
      </c>
      <c r="G457" s="5" t="str">
        <f>IFERROR(__xludf.DUMMYFUNCTION("""COMPUTED_VALUE"""),"Sunflower oil")</f>
        <v>Sunflower oil</v>
      </c>
      <c r="H457" s="6">
        <f>IFERROR(__xludf.DUMMYFUNCTION("""COMPUTED_VALUE"""),5915.0)</f>
        <v>5915</v>
      </c>
      <c r="I457" s="7">
        <f>IFERROR(__xludf.DUMMYFUNCTION("""COMPUTED_VALUE"""),44925.0)</f>
        <v>44925</v>
      </c>
      <c r="J457" s="7">
        <f>IFERROR(__xludf.DUMMYFUNCTION("""COMPUTED_VALUE"""),44932.0)</f>
        <v>44932</v>
      </c>
      <c r="K457" s="5" t="str">
        <f>IFERROR(__xludf.DUMMYFUNCTION("""COMPUTED_VALUE"""),"high-income")</f>
        <v>high-income</v>
      </c>
      <c r="L457" s="5" t="str">
        <f>IFERROR(__xludf.DUMMYFUNCTION("""COMPUTED_VALUE"""),"Malta")</f>
        <v>Malta</v>
      </c>
      <c r="M457" s="5" t="str">
        <f>IFERROR(__xludf.DUMMYFUNCTION("""COMPUTED_VALUE"""),"Europe &amp; Central Asia")</f>
        <v>Europe &amp; Central Asia</v>
      </c>
      <c r="N457" s="5" t="str">
        <f>IFERROR(__xludf.DUMMYFUNCTION("""COMPUTED_VALUE"""),"Western Europe and Others")</f>
        <v>Western Europe and Others</v>
      </c>
      <c r="O457" s="5" t="str">
        <f>IFERROR(__xludf.DUMMYFUNCTION("""COMPUTED_VALUE"""),"developed")</f>
        <v>developed</v>
      </c>
      <c r="P457" s="5"/>
      <c r="Q457" s="5"/>
    </row>
    <row r="458">
      <c r="A458" s="5" t="str">
        <f>IFERROR(__xludf.DUMMYFUNCTION("""COMPUTED_VALUE"""),"Outbound")</f>
        <v>Outbound</v>
      </c>
      <c r="B458" s="5">
        <f>IFERROR(__xludf.DUMMYFUNCTION("""COMPUTED_VALUE"""),609.0)</f>
        <v>609</v>
      </c>
      <c r="C458" s="5" t="str">
        <f>IFERROR(__xludf.DUMMYFUNCTION("""COMPUTED_VALUE"""),"PANJALI TEYMUROV")</f>
        <v>PANJALI TEYMUROV</v>
      </c>
      <c r="D458" s="5">
        <f>IFERROR(__xludf.DUMMYFUNCTION("""COMPUTED_VALUE"""),9575333.0)</f>
        <v>9575333</v>
      </c>
      <c r="E458" s="5" t="str">
        <f>IFERROR(__xludf.DUMMYFUNCTION("""COMPUTED_VALUE"""),"Chornomorsk")</f>
        <v>Chornomorsk</v>
      </c>
      <c r="F458" s="5" t="str">
        <f>IFERROR(__xludf.DUMMYFUNCTION("""COMPUTED_VALUE"""),"Tunisia")</f>
        <v>Tunisia</v>
      </c>
      <c r="G458" s="5" t="str">
        <f>IFERROR(__xludf.DUMMYFUNCTION("""COMPUTED_VALUE"""),"Vegetable oil")</f>
        <v>Vegetable oil</v>
      </c>
      <c r="H458" s="6">
        <f>IFERROR(__xludf.DUMMYFUNCTION("""COMPUTED_VALUE"""),3300.0)</f>
        <v>3300</v>
      </c>
      <c r="I458" s="7">
        <f>IFERROR(__xludf.DUMMYFUNCTION("""COMPUTED_VALUE"""),44924.0)</f>
        <v>44924</v>
      </c>
      <c r="J458" s="7">
        <f>IFERROR(__xludf.DUMMYFUNCTION("""COMPUTED_VALUE"""),44933.0)</f>
        <v>44933</v>
      </c>
      <c r="K458" s="5" t="str">
        <f>IFERROR(__xludf.DUMMYFUNCTION("""COMPUTED_VALUE"""),"lower-middle income")</f>
        <v>lower-middle income</v>
      </c>
      <c r="L458" s="5" t="str">
        <f>IFERROR(__xludf.DUMMYFUNCTION("""COMPUTED_VALUE"""),"Liberia")</f>
        <v>Liberia</v>
      </c>
      <c r="M458" s="5" t="str">
        <f>IFERROR(__xludf.DUMMYFUNCTION("""COMPUTED_VALUE"""),"Middle East &amp; North Africa")</f>
        <v>Middle East &amp; North Africa</v>
      </c>
      <c r="N458" s="5" t="str">
        <f>IFERROR(__xludf.DUMMYFUNCTION("""COMPUTED_VALUE"""),"Africa")</f>
        <v>Africa</v>
      </c>
      <c r="O458" s="5" t="str">
        <f>IFERROR(__xludf.DUMMYFUNCTION("""COMPUTED_VALUE"""),"developing")</f>
        <v>developing</v>
      </c>
      <c r="P458" s="5"/>
      <c r="Q458" s="5"/>
    </row>
    <row r="459">
      <c r="A459" s="5" t="str">
        <f>IFERROR(__xludf.DUMMYFUNCTION("""COMPUTED_VALUE"""),"Outbound +")</f>
        <v>Outbound +</v>
      </c>
      <c r="B459" s="5">
        <f>IFERROR(__xludf.DUMMYFUNCTION("""COMPUTED_VALUE"""),609.0)</f>
        <v>609</v>
      </c>
      <c r="C459" s="5" t="str">
        <f>IFERROR(__xludf.DUMMYFUNCTION("""COMPUTED_VALUE"""),"PANJALI TEYMUROV")</f>
        <v>PANJALI TEYMUROV</v>
      </c>
      <c r="D459" s="5">
        <f>IFERROR(__xludf.DUMMYFUNCTION("""COMPUTED_VALUE"""),9575333.0)</f>
        <v>9575333</v>
      </c>
      <c r="E459" s="5" t="str">
        <f>IFERROR(__xludf.DUMMYFUNCTION("""COMPUTED_VALUE"""),"Chornomorsk")</f>
        <v>Chornomorsk</v>
      </c>
      <c r="F459" s="5" t="str">
        <f>IFERROR(__xludf.DUMMYFUNCTION("""COMPUTED_VALUE"""),"Tunisia")</f>
        <v>Tunisia</v>
      </c>
      <c r="G459" s="5" t="str">
        <f>IFERROR(__xludf.DUMMYFUNCTION("""COMPUTED_VALUE"""),"Soya oil")</f>
        <v>Soya oil</v>
      </c>
      <c r="H459" s="6">
        <f>IFERROR(__xludf.DUMMYFUNCTION("""COMPUTED_VALUE"""),2970.0)</f>
        <v>2970</v>
      </c>
      <c r="I459" s="7">
        <f>IFERROR(__xludf.DUMMYFUNCTION("""COMPUTED_VALUE"""),44924.0)</f>
        <v>44924</v>
      </c>
      <c r="J459" s="7">
        <f>IFERROR(__xludf.DUMMYFUNCTION("""COMPUTED_VALUE"""),44933.0)</f>
        <v>44933</v>
      </c>
      <c r="K459" s="5" t="str">
        <f>IFERROR(__xludf.DUMMYFUNCTION("""COMPUTED_VALUE"""),"lower-middle income")</f>
        <v>lower-middle income</v>
      </c>
      <c r="L459" s="5" t="str">
        <f>IFERROR(__xludf.DUMMYFUNCTION("""COMPUTED_VALUE"""),"Liberia")</f>
        <v>Liberia</v>
      </c>
      <c r="M459" s="5" t="str">
        <f>IFERROR(__xludf.DUMMYFUNCTION("""COMPUTED_VALUE"""),"Middle East &amp; North Africa")</f>
        <v>Middle East &amp; North Africa</v>
      </c>
      <c r="N459" s="5" t="str">
        <f>IFERROR(__xludf.DUMMYFUNCTION("""COMPUTED_VALUE"""),"Africa")</f>
        <v>Africa</v>
      </c>
      <c r="O459" s="5" t="str">
        <f>IFERROR(__xludf.DUMMYFUNCTION("""COMPUTED_VALUE"""),"developing")</f>
        <v>developing</v>
      </c>
      <c r="P459" s="5"/>
      <c r="Q459" s="5"/>
    </row>
    <row r="460">
      <c r="A460" s="5" t="str">
        <f>IFERROR(__xludf.DUMMYFUNCTION("""COMPUTED_VALUE"""),"Outbound")</f>
        <v>Outbound</v>
      </c>
      <c r="B460" s="5">
        <f>IFERROR(__xludf.DUMMYFUNCTION("""COMPUTED_VALUE"""),608.0)</f>
        <v>608</v>
      </c>
      <c r="C460" s="5" t="str">
        <f>IFERROR(__xludf.DUMMYFUNCTION("""COMPUTED_VALUE"""),"NEW VICTORY")</f>
        <v>NEW VICTORY</v>
      </c>
      <c r="D460" s="5">
        <f>IFERROR(__xludf.DUMMYFUNCTION("""COMPUTED_VALUE"""),9159050.0)</f>
        <v>9159050</v>
      </c>
      <c r="E460" s="5" t="str">
        <f>IFERROR(__xludf.DUMMYFUNCTION("""COMPUTED_VALUE"""),"Yuzhny/Pivdennyi")</f>
        <v>Yuzhny/Pivdennyi</v>
      </c>
      <c r="F460" s="5" t="str">
        <f>IFERROR(__xludf.DUMMYFUNCTION("""COMPUTED_VALUE"""),"Tunisia")</f>
        <v>Tunisia</v>
      </c>
      <c r="G460" s="5" t="str">
        <f>IFERROR(__xludf.DUMMYFUNCTION("""COMPUTED_VALUE"""),"Barley")</f>
        <v>Barley</v>
      </c>
      <c r="H460" s="6">
        <f>IFERROR(__xludf.DUMMYFUNCTION("""COMPUTED_VALUE"""),23500.0)</f>
        <v>23500</v>
      </c>
      <c r="I460" s="7">
        <f>IFERROR(__xludf.DUMMYFUNCTION("""COMPUTED_VALUE"""),44924.0)</f>
        <v>44924</v>
      </c>
      <c r="J460" s="7">
        <f>IFERROR(__xludf.DUMMYFUNCTION("""COMPUTED_VALUE"""),44933.0)</f>
        <v>44933</v>
      </c>
      <c r="K460" s="5" t="str">
        <f>IFERROR(__xludf.DUMMYFUNCTION("""COMPUTED_VALUE"""),"lower-middle income")</f>
        <v>lower-middle income</v>
      </c>
      <c r="L460" s="5" t="str">
        <f>IFERROR(__xludf.DUMMYFUNCTION("""COMPUTED_VALUE"""),"Belize")</f>
        <v>Belize</v>
      </c>
      <c r="M460" s="5" t="str">
        <f>IFERROR(__xludf.DUMMYFUNCTION("""COMPUTED_VALUE"""),"Middle East &amp; North Africa")</f>
        <v>Middle East &amp; North Africa</v>
      </c>
      <c r="N460" s="5" t="str">
        <f>IFERROR(__xludf.DUMMYFUNCTION("""COMPUTED_VALUE"""),"Africa")</f>
        <v>Africa</v>
      </c>
      <c r="O460" s="5" t="str">
        <f>IFERROR(__xludf.DUMMYFUNCTION("""COMPUTED_VALUE"""),"developing")</f>
        <v>developing</v>
      </c>
      <c r="P460" s="5"/>
      <c r="Q460" s="5"/>
    </row>
    <row r="461">
      <c r="A461" s="5" t="str">
        <f>IFERROR(__xludf.DUMMYFUNCTION("""COMPUTED_VALUE"""),"Outbound")</f>
        <v>Outbound</v>
      </c>
      <c r="B461" s="5">
        <f>IFERROR(__xludf.DUMMYFUNCTION("""COMPUTED_VALUE"""),607.0)</f>
        <v>607</v>
      </c>
      <c r="C461" s="5" t="str">
        <f>IFERROR(__xludf.DUMMYFUNCTION("""COMPUTED_VALUE"""),"AILEEN")</f>
        <v>AILEEN</v>
      </c>
      <c r="D461" s="5">
        <f>IFERROR(__xludf.DUMMYFUNCTION("""COMPUTED_VALUE"""),9214252.0)</f>
        <v>9214252</v>
      </c>
      <c r="E461" s="5" t="str">
        <f>IFERROR(__xludf.DUMMYFUNCTION("""COMPUTED_VALUE"""),"Chornomorsk")</f>
        <v>Chornomorsk</v>
      </c>
      <c r="F461" s="5" t="str">
        <f>IFERROR(__xludf.DUMMYFUNCTION("""COMPUTED_VALUE"""),"Morocco")</f>
        <v>Morocco</v>
      </c>
      <c r="G461" s="5" t="str">
        <f>IFERROR(__xludf.DUMMYFUNCTION("""COMPUTED_VALUE"""),"Sunflower meal")</f>
        <v>Sunflower meal</v>
      </c>
      <c r="H461" s="6">
        <f>IFERROR(__xludf.DUMMYFUNCTION("""COMPUTED_VALUE"""),12300.0)</f>
        <v>12300</v>
      </c>
      <c r="I461" s="7">
        <f>IFERROR(__xludf.DUMMYFUNCTION("""COMPUTED_VALUE"""),44924.0)</f>
        <v>44924</v>
      </c>
      <c r="J461" s="7">
        <f>IFERROR(__xludf.DUMMYFUNCTION("""COMPUTED_VALUE"""),44932.0)</f>
        <v>44932</v>
      </c>
      <c r="K461" s="5" t="str">
        <f>IFERROR(__xludf.DUMMYFUNCTION("""COMPUTED_VALUE"""),"lower-middle income")</f>
        <v>lower-middle income</v>
      </c>
      <c r="L461" s="5" t="str">
        <f>IFERROR(__xludf.DUMMYFUNCTION("""COMPUTED_VALUE"""),"Palau")</f>
        <v>Palau</v>
      </c>
      <c r="M461" s="5" t="str">
        <f>IFERROR(__xludf.DUMMYFUNCTION("""COMPUTED_VALUE"""),"Middle East &amp; North Africa")</f>
        <v>Middle East &amp; North Africa</v>
      </c>
      <c r="N461" s="5" t="str">
        <f>IFERROR(__xludf.DUMMYFUNCTION("""COMPUTED_VALUE"""),"Africa")</f>
        <v>Africa</v>
      </c>
      <c r="O461" s="5" t="str">
        <f>IFERROR(__xludf.DUMMYFUNCTION("""COMPUTED_VALUE"""),"developing")</f>
        <v>developing</v>
      </c>
      <c r="P461" s="5"/>
      <c r="Q461" s="5"/>
    </row>
    <row r="462">
      <c r="A462" s="5" t="str">
        <f>IFERROR(__xludf.DUMMYFUNCTION("""COMPUTED_VALUE"""),"Outbound")</f>
        <v>Outbound</v>
      </c>
      <c r="B462" s="5">
        <f>IFERROR(__xludf.DUMMYFUNCTION("""COMPUTED_VALUE"""),606.0)</f>
        <v>606</v>
      </c>
      <c r="C462" s="5" t="str">
        <f>IFERROR(__xludf.DUMMYFUNCTION("""COMPUTED_VALUE"""),"ZEINAB")</f>
        <v>ZEINAB</v>
      </c>
      <c r="D462" s="5">
        <f>IFERROR(__xludf.DUMMYFUNCTION("""COMPUTED_VALUE"""),9070424.0)</f>
        <v>9070424</v>
      </c>
      <c r="E462" s="5" t="str">
        <f>IFERROR(__xludf.DUMMYFUNCTION("""COMPUTED_VALUE"""),"Chornomorsk")</f>
        <v>Chornomorsk</v>
      </c>
      <c r="F462" s="5" t="str">
        <f>IFERROR(__xludf.DUMMYFUNCTION("""COMPUTED_VALUE"""),"Tunisia")</f>
        <v>Tunisia</v>
      </c>
      <c r="G462" s="5" t="str">
        <f>IFERROR(__xludf.DUMMYFUNCTION("""COMPUTED_VALUE"""),"Wheat")</f>
        <v>Wheat</v>
      </c>
      <c r="H462" s="6">
        <f>IFERROR(__xludf.DUMMYFUNCTION("""COMPUTED_VALUE"""),25000.0)</f>
        <v>25000</v>
      </c>
      <c r="I462" s="7">
        <f>IFERROR(__xludf.DUMMYFUNCTION("""COMPUTED_VALUE"""),44923.0)</f>
        <v>44923</v>
      </c>
      <c r="J462" s="7">
        <f>IFERROR(__xludf.DUMMYFUNCTION("""COMPUTED_VALUE"""),44933.0)</f>
        <v>44933</v>
      </c>
      <c r="K462" s="5" t="str">
        <f>IFERROR(__xludf.DUMMYFUNCTION("""COMPUTED_VALUE"""),"lower-middle income")</f>
        <v>lower-middle income</v>
      </c>
      <c r="L462" s="5" t="str">
        <f>IFERROR(__xludf.DUMMYFUNCTION("""COMPUTED_VALUE"""),"Tuvalu")</f>
        <v>Tuvalu</v>
      </c>
      <c r="M462" s="5" t="str">
        <f>IFERROR(__xludf.DUMMYFUNCTION("""COMPUTED_VALUE"""),"Middle East &amp; North Africa")</f>
        <v>Middle East &amp; North Africa</v>
      </c>
      <c r="N462" s="5" t="str">
        <f>IFERROR(__xludf.DUMMYFUNCTION("""COMPUTED_VALUE"""),"Africa")</f>
        <v>Africa</v>
      </c>
      <c r="O462" s="5" t="str">
        <f>IFERROR(__xludf.DUMMYFUNCTION("""COMPUTED_VALUE"""),"developing")</f>
        <v>developing</v>
      </c>
      <c r="P462" s="5"/>
      <c r="Q462" s="5"/>
    </row>
    <row r="463">
      <c r="A463" s="5" t="str">
        <f>IFERROR(__xludf.DUMMYFUNCTION("""COMPUTED_VALUE"""),"Outbound")</f>
        <v>Outbound</v>
      </c>
      <c r="B463" s="5">
        <f>IFERROR(__xludf.DUMMYFUNCTION("""COMPUTED_VALUE"""),605.0)</f>
        <v>605</v>
      </c>
      <c r="C463" s="5" t="str">
        <f>IFERROR(__xludf.DUMMYFUNCTION("""COMPUTED_VALUE"""),"VALSAMITIS")</f>
        <v>VALSAMITIS</v>
      </c>
      <c r="D463" s="5">
        <f>IFERROR(__xludf.DUMMYFUNCTION("""COMPUTED_VALUE"""),9629823.0)</f>
        <v>9629823</v>
      </c>
      <c r="E463" s="5" t="str">
        <f>IFERROR(__xludf.DUMMYFUNCTION("""COMPUTED_VALUE"""),"Chornomorsk")</f>
        <v>Chornomorsk</v>
      </c>
      <c r="F463" s="5" t="str">
        <f>IFERROR(__xludf.DUMMYFUNCTION("""COMPUTED_VALUE"""),"Spain")</f>
        <v>Spain</v>
      </c>
      <c r="G463" s="5" t="str">
        <f>IFERROR(__xludf.DUMMYFUNCTION("""COMPUTED_VALUE"""),"Wheat")</f>
        <v>Wheat</v>
      </c>
      <c r="H463" s="6">
        <f>IFERROR(__xludf.DUMMYFUNCTION("""COMPUTED_VALUE"""),15872.0)</f>
        <v>15872</v>
      </c>
      <c r="I463" s="7">
        <f>IFERROR(__xludf.DUMMYFUNCTION("""COMPUTED_VALUE"""),44923.0)</f>
        <v>44923</v>
      </c>
      <c r="J463" s="7">
        <f>IFERROR(__xludf.DUMMYFUNCTION("""COMPUTED_VALUE"""),44931.0)</f>
        <v>44931</v>
      </c>
      <c r="K463" s="5" t="str">
        <f>IFERROR(__xludf.DUMMYFUNCTION("""COMPUTED_VALUE"""),"high-income")</f>
        <v>high-income</v>
      </c>
      <c r="L463" s="5" t="str">
        <f>IFERROR(__xludf.DUMMYFUNCTION("""COMPUTED_VALUE"""),"Liberia")</f>
        <v>Liberia</v>
      </c>
      <c r="M463" s="5" t="str">
        <f>IFERROR(__xludf.DUMMYFUNCTION("""COMPUTED_VALUE"""),"Europe &amp; Central Asia")</f>
        <v>Europe &amp; Central Asia</v>
      </c>
      <c r="N463" s="5" t="str">
        <f>IFERROR(__xludf.DUMMYFUNCTION("""COMPUTED_VALUE"""),"Western Europe and Others")</f>
        <v>Western Europe and Others</v>
      </c>
      <c r="O463" s="5" t="str">
        <f>IFERROR(__xludf.DUMMYFUNCTION("""COMPUTED_VALUE"""),"developed")</f>
        <v>developed</v>
      </c>
      <c r="P463" s="5"/>
      <c r="Q463" s="5"/>
    </row>
    <row r="464">
      <c r="A464" s="5" t="str">
        <f>IFERROR(__xludf.DUMMYFUNCTION("""COMPUTED_VALUE"""),"Outbound +")</f>
        <v>Outbound +</v>
      </c>
      <c r="B464" s="5">
        <f>IFERROR(__xludf.DUMMYFUNCTION("""COMPUTED_VALUE"""),605.0)</f>
        <v>605</v>
      </c>
      <c r="C464" s="5" t="str">
        <f>IFERROR(__xludf.DUMMYFUNCTION("""COMPUTED_VALUE"""),"VALSAMITIS")</f>
        <v>VALSAMITIS</v>
      </c>
      <c r="D464" s="5">
        <f>IFERROR(__xludf.DUMMYFUNCTION("""COMPUTED_VALUE"""),9629823.0)</f>
        <v>9629823</v>
      </c>
      <c r="E464" s="5" t="str">
        <f>IFERROR(__xludf.DUMMYFUNCTION("""COMPUTED_VALUE"""),"Chornomorsk")</f>
        <v>Chornomorsk</v>
      </c>
      <c r="F464" s="5" t="str">
        <f>IFERROR(__xludf.DUMMYFUNCTION("""COMPUTED_VALUE"""),"Spain")</f>
        <v>Spain</v>
      </c>
      <c r="G464" s="5" t="str">
        <f>IFERROR(__xludf.DUMMYFUNCTION("""COMPUTED_VALUE"""),"Corn")</f>
        <v>Corn</v>
      </c>
      <c r="H464" s="6">
        <f>IFERROR(__xludf.DUMMYFUNCTION("""COMPUTED_VALUE"""),16580.0)</f>
        <v>16580</v>
      </c>
      <c r="I464" s="7">
        <f>IFERROR(__xludf.DUMMYFUNCTION("""COMPUTED_VALUE"""),44923.0)</f>
        <v>44923</v>
      </c>
      <c r="J464" s="7">
        <f>IFERROR(__xludf.DUMMYFUNCTION("""COMPUTED_VALUE"""),44931.0)</f>
        <v>44931</v>
      </c>
      <c r="K464" s="5" t="str">
        <f>IFERROR(__xludf.DUMMYFUNCTION("""COMPUTED_VALUE"""),"high-income")</f>
        <v>high-income</v>
      </c>
      <c r="L464" s="5" t="str">
        <f>IFERROR(__xludf.DUMMYFUNCTION("""COMPUTED_VALUE"""),"Liberia")</f>
        <v>Liberia</v>
      </c>
      <c r="M464" s="5" t="str">
        <f>IFERROR(__xludf.DUMMYFUNCTION("""COMPUTED_VALUE"""),"Europe &amp; Central Asia")</f>
        <v>Europe &amp; Central Asia</v>
      </c>
      <c r="N464" s="5" t="str">
        <f>IFERROR(__xludf.DUMMYFUNCTION("""COMPUTED_VALUE"""),"Western Europe and Others")</f>
        <v>Western Europe and Others</v>
      </c>
      <c r="O464" s="5" t="str">
        <f>IFERROR(__xludf.DUMMYFUNCTION("""COMPUTED_VALUE"""),"developed")</f>
        <v>developed</v>
      </c>
      <c r="P464" s="5"/>
      <c r="Q464" s="5"/>
    </row>
    <row r="465">
      <c r="A465" s="5" t="str">
        <f>IFERROR(__xludf.DUMMYFUNCTION("""COMPUTED_VALUE"""),"Outbound")</f>
        <v>Outbound</v>
      </c>
      <c r="B465" s="5">
        <f>IFERROR(__xludf.DUMMYFUNCTION("""COMPUTED_VALUE"""),604.0)</f>
        <v>604</v>
      </c>
      <c r="C465" s="5" t="str">
        <f>IFERROR(__xludf.DUMMYFUNCTION("""COMPUTED_VALUE"""),"SUPER MARTINELLI")</f>
        <v>SUPER MARTINELLI</v>
      </c>
      <c r="D465" s="5">
        <f>IFERROR(__xludf.DUMMYFUNCTION("""COMPUTED_VALUE"""),9542831.0)</f>
        <v>9542831</v>
      </c>
      <c r="E465" s="5" t="str">
        <f>IFERROR(__xludf.DUMMYFUNCTION("""COMPUTED_VALUE"""),"Odesa")</f>
        <v>Odesa</v>
      </c>
      <c r="F465" s="5" t="str">
        <f>IFERROR(__xludf.DUMMYFUNCTION("""COMPUTED_VALUE"""),"Spain")</f>
        <v>Spain</v>
      </c>
      <c r="G465" s="5" t="str">
        <f>IFERROR(__xludf.DUMMYFUNCTION("""COMPUTED_VALUE"""),"Wheat")</f>
        <v>Wheat</v>
      </c>
      <c r="H465" s="6">
        <f>IFERROR(__xludf.DUMMYFUNCTION("""COMPUTED_VALUE"""),33500.0)</f>
        <v>33500</v>
      </c>
      <c r="I465" s="7">
        <f>IFERROR(__xludf.DUMMYFUNCTION("""COMPUTED_VALUE"""),44923.0)</f>
        <v>44923</v>
      </c>
      <c r="J465" s="7">
        <f>IFERROR(__xludf.DUMMYFUNCTION("""COMPUTED_VALUE"""),44935.0)</f>
        <v>44935</v>
      </c>
      <c r="K465" s="5" t="str">
        <f>IFERROR(__xludf.DUMMYFUNCTION("""COMPUTED_VALUE"""),"high-income")</f>
        <v>high-income</v>
      </c>
      <c r="L465" s="5" t="str">
        <f>IFERROR(__xludf.DUMMYFUNCTION("""COMPUTED_VALUE"""),"Barbados")</f>
        <v>Barbados</v>
      </c>
      <c r="M465" s="5" t="str">
        <f>IFERROR(__xludf.DUMMYFUNCTION("""COMPUTED_VALUE"""),"Europe &amp; Central Asia")</f>
        <v>Europe &amp; Central Asia</v>
      </c>
      <c r="N465" s="5" t="str">
        <f>IFERROR(__xludf.DUMMYFUNCTION("""COMPUTED_VALUE"""),"Western Europe and Others")</f>
        <v>Western Europe and Others</v>
      </c>
      <c r="O465" s="5" t="str">
        <f>IFERROR(__xludf.DUMMYFUNCTION("""COMPUTED_VALUE"""),"developed")</f>
        <v>developed</v>
      </c>
      <c r="P465" s="5"/>
      <c r="Q465" s="5"/>
    </row>
    <row r="466">
      <c r="A466" s="5" t="str">
        <f>IFERROR(__xludf.DUMMYFUNCTION("""COMPUTED_VALUE"""),"Outbound")</f>
        <v>Outbound</v>
      </c>
      <c r="B466" s="5">
        <f>IFERROR(__xludf.DUMMYFUNCTION("""COMPUTED_VALUE"""),603.0)</f>
        <v>603</v>
      </c>
      <c r="C466" s="5" t="str">
        <f>IFERROR(__xludf.DUMMYFUNCTION("""COMPUTED_VALUE"""),"SUMMER LADY")</f>
        <v>SUMMER LADY</v>
      </c>
      <c r="D466" s="5">
        <f>IFERROR(__xludf.DUMMYFUNCTION("""COMPUTED_VALUE"""),9184938.0)</f>
        <v>9184938</v>
      </c>
      <c r="E466" s="5" t="str">
        <f>IFERROR(__xludf.DUMMYFUNCTION("""COMPUTED_VALUE"""),"Yuzhny/Pivdennyi")</f>
        <v>Yuzhny/Pivdennyi</v>
      </c>
      <c r="F466" s="5" t="str">
        <f>IFERROR(__xludf.DUMMYFUNCTION("""COMPUTED_VALUE"""),"Spain")</f>
        <v>Spain</v>
      </c>
      <c r="G466" s="5" t="str">
        <f>IFERROR(__xludf.DUMMYFUNCTION("""COMPUTED_VALUE"""),"Corn")</f>
        <v>Corn</v>
      </c>
      <c r="H466" s="6">
        <f>IFERROR(__xludf.DUMMYFUNCTION("""COMPUTED_VALUE"""),53500.0)</f>
        <v>53500</v>
      </c>
      <c r="I466" s="7">
        <f>IFERROR(__xludf.DUMMYFUNCTION("""COMPUTED_VALUE"""),44923.0)</f>
        <v>44923</v>
      </c>
      <c r="J466" s="7">
        <f>IFERROR(__xludf.DUMMYFUNCTION("""COMPUTED_VALUE"""),44931.0)</f>
        <v>44931</v>
      </c>
      <c r="K466" s="5" t="str">
        <f>IFERROR(__xludf.DUMMYFUNCTION("""COMPUTED_VALUE"""),"high-income")</f>
        <v>high-income</v>
      </c>
      <c r="L466" s="5" t="str">
        <f>IFERROR(__xludf.DUMMYFUNCTION("""COMPUTED_VALUE"""),"Marshall Islands")</f>
        <v>Marshall Islands</v>
      </c>
      <c r="M466" s="5" t="str">
        <f>IFERROR(__xludf.DUMMYFUNCTION("""COMPUTED_VALUE"""),"Europe &amp; Central Asia")</f>
        <v>Europe &amp; Central Asia</v>
      </c>
      <c r="N466" s="5" t="str">
        <f>IFERROR(__xludf.DUMMYFUNCTION("""COMPUTED_VALUE"""),"Western Europe and Others")</f>
        <v>Western Europe and Others</v>
      </c>
      <c r="O466" s="5" t="str">
        <f>IFERROR(__xludf.DUMMYFUNCTION("""COMPUTED_VALUE"""),"developed")</f>
        <v>developed</v>
      </c>
      <c r="P466" s="5"/>
      <c r="Q466" s="5"/>
    </row>
    <row r="467">
      <c r="A467" s="5" t="str">
        <f>IFERROR(__xludf.DUMMYFUNCTION("""COMPUTED_VALUE"""),"Outbound +")</f>
        <v>Outbound +</v>
      </c>
      <c r="B467" s="5">
        <f>IFERROR(__xludf.DUMMYFUNCTION("""COMPUTED_VALUE"""),603.0)</f>
        <v>603</v>
      </c>
      <c r="C467" s="5" t="str">
        <f>IFERROR(__xludf.DUMMYFUNCTION("""COMPUTED_VALUE"""),"SUMMER LADY")</f>
        <v>SUMMER LADY</v>
      </c>
      <c r="D467" s="5">
        <f>IFERROR(__xludf.DUMMYFUNCTION("""COMPUTED_VALUE"""),9184938.0)</f>
        <v>9184938</v>
      </c>
      <c r="E467" s="5" t="str">
        <f>IFERROR(__xludf.DUMMYFUNCTION("""COMPUTED_VALUE"""),"Yuzhny/Pivdennyi")</f>
        <v>Yuzhny/Pivdennyi</v>
      </c>
      <c r="F467" s="5" t="str">
        <f>IFERROR(__xludf.DUMMYFUNCTION("""COMPUTED_VALUE"""),"Spain")</f>
        <v>Spain</v>
      </c>
      <c r="G467" s="5" t="str">
        <f>IFERROR(__xludf.DUMMYFUNCTION("""COMPUTED_VALUE"""),"Wheat")</f>
        <v>Wheat</v>
      </c>
      <c r="H467" s="6">
        <f>IFERROR(__xludf.DUMMYFUNCTION("""COMPUTED_VALUE"""),9900.0)</f>
        <v>9900</v>
      </c>
      <c r="I467" s="7">
        <f>IFERROR(__xludf.DUMMYFUNCTION("""COMPUTED_VALUE"""),44923.0)</f>
        <v>44923</v>
      </c>
      <c r="J467" s="7">
        <f>IFERROR(__xludf.DUMMYFUNCTION("""COMPUTED_VALUE"""),44931.0)</f>
        <v>44931</v>
      </c>
      <c r="K467" s="5" t="str">
        <f>IFERROR(__xludf.DUMMYFUNCTION("""COMPUTED_VALUE"""),"high-income")</f>
        <v>high-income</v>
      </c>
      <c r="L467" s="5" t="str">
        <f>IFERROR(__xludf.DUMMYFUNCTION("""COMPUTED_VALUE"""),"Marshall Islands")</f>
        <v>Marshall Islands</v>
      </c>
      <c r="M467" s="5" t="str">
        <f>IFERROR(__xludf.DUMMYFUNCTION("""COMPUTED_VALUE"""),"Europe &amp; Central Asia")</f>
        <v>Europe &amp; Central Asia</v>
      </c>
      <c r="N467" s="5" t="str">
        <f>IFERROR(__xludf.DUMMYFUNCTION("""COMPUTED_VALUE"""),"Western Europe and Others")</f>
        <v>Western Europe and Others</v>
      </c>
      <c r="O467" s="5" t="str">
        <f>IFERROR(__xludf.DUMMYFUNCTION("""COMPUTED_VALUE"""),"developed")</f>
        <v>developed</v>
      </c>
      <c r="P467" s="5"/>
      <c r="Q467" s="5"/>
    </row>
    <row r="468">
      <c r="A468" s="5" t="str">
        <f>IFERROR(__xludf.DUMMYFUNCTION("""COMPUTED_VALUE"""),"Outbound")</f>
        <v>Outbound</v>
      </c>
      <c r="B468" s="5">
        <f>IFERROR(__xludf.DUMMYFUNCTION("""COMPUTED_VALUE"""),602.0)</f>
        <v>602</v>
      </c>
      <c r="C468" s="5" t="str">
        <f>IFERROR(__xludf.DUMMYFUNCTION("""COMPUTED_VALUE"""),"LUCKY")</f>
        <v>LUCKY</v>
      </c>
      <c r="D468" s="5">
        <f>IFERROR(__xludf.DUMMYFUNCTION("""COMPUTED_VALUE"""),9037305.0)</f>
        <v>9037305</v>
      </c>
      <c r="E468" s="5" t="str">
        <f>IFERROR(__xludf.DUMMYFUNCTION("""COMPUTED_VALUE"""),"Odesa")</f>
        <v>Odesa</v>
      </c>
      <c r="F468" s="5" t="str">
        <f>IFERROR(__xludf.DUMMYFUNCTION("""COMPUTED_VALUE"""),"Spain")</f>
        <v>Spain</v>
      </c>
      <c r="G468" s="5" t="str">
        <f>IFERROR(__xludf.DUMMYFUNCTION("""COMPUTED_VALUE"""),"Sunflower meal")</f>
        <v>Sunflower meal</v>
      </c>
      <c r="H468" s="6">
        <f>IFERROR(__xludf.DUMMYFUNCTION("""COMPUTED_VALUE"""),5500.0)</f>
        <v>5500</v>
      </c>
      <c r="I468" s="7">
        <f>IFERROR(__xludf.DUMMYFUNCTION("""COMPUTED_VALUE"""),44923.0)</f>
        <v>44923</v>
      </c>
      <c r="J468" s="7">
        <f>IFERROR(__xludf.DUMMYFUNCTION("""COMPUTED_VALUE"""),44932.0)</f>
        <v>44932</v>
      </c>
      <c r="K468" s="5" t="str">
        <f>IFERROR(__xludf.DUMMYFUNCTION("""COMPUTED_VALUE"""),"high-income")</f>
        <v>high-income</v>
      </c>
      <c r="L468" s="5" t="str">
        <f>IFERROR(__xludf.DUMMYFUNCTION("""COMPUTED_VALUE"""),"Panama")</f>
        <v>Panama</v>
      </c>
      <c r="M468" s="5" t="str">
        <f>IFERROR(__xludf.DUMMYFUNCTION("""COMPUTED_VALUE"""),"Europe &amp; Central Asia")</f>
        <v>Europe &amp; Central Asia</v>
      </c>
      <c r="N468" s="5" t="str">
        <f>IFERROR(__xludf.DUMMYFUNCTION("""COMPUTED_VALUE"""),"Western Europe and Others")</f>
        <v>Western Europe and Others</v>
      </c>
      <c r="O468" s="5" t="str">
        <f>IFERROR(__xludf.DUMMYFUNCTION("""COMPUTED_VALUE"""),"developed")</f>
        <v>developed</v>
      </c>
      <c r="P468" s="5"/>
      <c r="Q468" s="5"/>
    </row>
    <row r="469">
      <c r="A469" s="5" t="str">
        <f>IFERROR(__xludf.DUMMYFUNCTION("""COMPUTED_VALUE"""),"Outbound")</f>
        <v>Outbound</v>
      </c>
      <c r="B469" s="5">
        <f>IFERROR(__xludf.DUMMYFUNCTION("""COMPUTED_VALUE"""),601.0)</f>
        <v>601</v>
      </c>
      <c r="C469" s="5" t="str">
        <f>IFERROR(__xludf.DUMMYFUNCTION("""COMPUTED_VALUE"""),"INOI")</f>
        <v>INOI</v>
      </c>
      <c r="D469" s="5">
        <f>IFERROR(__xludf.DUMMYFUNCTION("""COMPUTED_VALUE"""),9400928.0)</f>
        <v>9400928</v>
      </c>
      <c r="E469" s="5" t="str">
        <f>IFERROR(__xludf.DUMMYFUNCTION("""COMPUTED_VALUE"""),"Chornomorsk")</f>
        <v>Chornomorsk</v>
      </c>
      <c r="F469" s="5" t="str">
        <f>IFERROR(__xludf.DUMMYFUNCTION("""COMPUTED_VALUE"""),"Italy")</f>
        <v>Italy</v>
      </c>
      <c r="G469" s="5" t="str">
        <f>IFERROR(__xludf.DUMMYFUNCTION("""COMPUTED_VALUE"""),"Corn")</f>
        <v>Corn</v>
      </c>
      <c r="H469" s="6">
        <f>IFERROR(__xludf.DUMMYFUNCTION("""COMPUTED_VALUE"""),17004.0)</f>
        <v>17004</v>
      </c>
      <c r="I469" s="7">
        <f>IFERROR(__xludf.DUMMYFUNCTION("""COMPUTED_VALUE"""),44923.0)</f>
        <v>44923</v>
      </c>
      <c r="J469" s="7">
        <f>IFERROR(__xludf.DUMMYFUNCTION("""COMPUTED_VALUE"""),44935.0)</f>
        <v>44935</v>
      </c>
      <c r="K469" s="5" t="str">
        <f>IFERROR(__xludf.DUMMYFUNCTION("""COMPUTED_VALUE"""),"high-income")</f>
        <v>high-income</v>
      </c>
      <c r="L469" s="5" t="str">
        <f>IFERROR(__xludf.DUMMYFUNCTION("""COMPUTED_VALUE"""),"Panama")</f>
        <v>Panama</v>
      </c>
      <c r="M469" s="5" t="str">
        <f>IFERROR(__xludf.DUMMYFUNCTION("""COMPUTED_VALUE"""),"Europe &amp; Central Asia")</f>
        <v>Europe &amp; Central Asia</v>
      </c>
      <c r="N469" s="5" t="str">
        <f>IFERROR(__xludf.DUMMYFUNCTION("""COMPUTED_VALUE"""),"Western Europe and Others")</f>
        <v>Western Europe and Others</v>
      </c>
      <c r="O469" s="5" t="str">
        <f>IFERROR(__xludf.DUMMYFUNCTION("""COMPUTED_VALUE"""),"developed")</f>
        <v>developed</v>
      </c>
      <c r="P469" s="5"/>
      <c r="Q469" s="5"/>
    </row>
    <row r="470">
      <c r="A470" s="5" t="str">
        <f>IFERROR(__xludf.DUMMYFUNCTION("""COMPUTED_VALUE"""),"Outbound +")</f>
        <v>Outbound +</v>
      </c>
      <c r="B470" s="5">
        <f>IFERROR(__xludf.DUMMYFUNCTION("""COMPUTED_VALUE"""),601.0)</f>
        <v>601</v>
      </c>
      <c r="C470" s="5" t="str">
        <f>IFERROR(__xludf.DUMMYFUNCTION("""COMPUTED_VALUE"""),"INOI")</f>
        <v>INOI</v>
      </c>
      <c r="D470" s="5">
        <f>IFERROR(__xludf.DUMMYFUNCTION("""COMPUTED_VALUE"""),9400928.0)</f>
        <v>9400928</v>
      </c>
      <c r="E470" s="5" t="str">
        <f>IFERROR(__xludf.DUMMYFUNCTION("""COMPUTED_VALUE"""),"Chornomorsk")</f>
        <v>Chornomorsk</v>
      </c>
      <c r="F470" s="5" t="str">
        <f>IFERROR(__xludf.DUMMYFUNCTION("""COMPUTED_VALUE"""),"Italy")</f>
        <v>Italy</v>
      </c>
      <c r="G470" s="5" t="str">
        <f>IFERROR(__xludf.DUMMYFUNCTION("""COMPUTED_VALUE"""),"Wheat")</f>
        <v>Wheat</v>
      </c>
      <c r="H470" s="6">
        <f>IFERROR(__xludf.DUMMYFUNCTION("""COMPUTED_VALUE"""),7030.0)</f>
        <v>7030</v>
      </c>
      <c r="I470" s="7">
        <f>IFERROR(__xludf.DUMMYFUNCTION("""COMPUTED_VALUE"""),44923.0)</f>
        <v>44923</v>
      </c>
      <c r="J470" s="7">
        <f>IFERROR(__xludf.DUMMYFUNCTION("""COMPUTED_VALUE"""),44935.0)</f>
        <v>44935</v>
      </c>
      <c r="K470" s="5" t="str">
        <f>IFERROR(__xludf.DUMMYFUNCTION("""COMPUTED_VALUE"""),"high-income")</f>
        <v>high-income</v>
      </c>
      <c r="L470" s="5" t="str">
        <f>IFERROR(__xludf.DUMMYFUNCTION("""COMPUTED_VALUE"""),"Panama")</f>
        <v>Panama</v>
      </c>
      <c r="M470" s="5" t="str">
        <f>IFERROR(__xludf.DUMMYFUNCTION("""COMPUTED_VALUE"""),"Europe &amp; Central Asia")</f>
        <v>Europe &amp; Central Asia</v>
      </c>
      <c r="N470" s="5" t="str">
        <f>IFERROR(__xludf.DUMMYFUNCTION("""COMPUTED_VALUE"""),"Western Europe and Others")</f>
        <v>Western Europe and Others</v>
      </c>
      <c r="O470" s="5" t="str">
        <f>IFERROR(__xludf.DUMMYFUNCTION("""COMPUTED_VALUE"""),"developed")</f>
        <v>developed</v>
      </c>
      <c r="P470" s="5"/>
      <c r="Q470" s="5"/>
    </row>
    <row r="471">
      <c r="A471" s="5" t="str">
        <f>IFERROR(__xludf.DUMMYFUNCTION("""COMPUTED_VALUE"""),"Outbound +")</f>
        <v>Outbound +</v>
      </c>
      <c r="B471" s="5">
        <f>IFERROR(__xludf.DUMMYFUNCTION("""COMPUTED_VALUE"""),601.0)</f>
        <v>601</v>
      </c>
      <c r="C471" s="5" t="str">
        <f>IFERROR(__xludf.DUMMYFUNCTION("""COMPUTED_VALUE"""),"INOI")</f>
        <v>INOI</v>
      </c>
      <c r="D471" s="5">
        <f>IFERROR(__xludf.DUMMYFUNCTION("""COMPUTED_VALUE"""),9400928.0)</f>
        <v>9400928</v>
      </c>
      <c r="E471" s="5" t="str">
        <f>IFERROR(__xludf.DUMMYFUNCTION("""COMPUTED_VALUE"""),"Chornomorsk")</f>
        <v>Chornomorsk</v>
      </c>
      <c r="F471" s="5" t="str">
        <f>IFERROR(__xludf.DUMMYFUNCTION("""COMPUTED_VALUE"""),"Italy")</f>
        <v>Italy</v>
      </c>
      <c r="G471" s="5" t="str">
        <f>IFERROR(__xludf.DUMMYFUNCTION("""COMPUTED_VALUE"""),"Soya beans")</f>
        <v>Soya beans</v>
      </c>
      <c r="H471" s="6">
        <f>IFERROR(__xludf.DUMMYFUNCTION("""COMPUTED_VALUE"""),6700.0)</f>
        <v>6700</v>
      </c>
      <c r="I471" s="7">
        <f>IFERROR(__xludf.DUMMYFUNCTION("""COMPUTED_VALUE"""),44923.0)</f>
        <v>44923</v>
      </c>
      <c r="J471" s="7">
        <f>IFERROR(__xludf.DUMMYFUNCTION("""COMPUTED_VALUE"""),44935.0)</f>
        <v>44935</v>
      </c>
      <c r="K471" s="5" t="str">
        <f>IFERROR(__xludf.DUMMYFUNCTION("""COMPUTED_VALUE"""),"high-income")</f>
        <v>high-income</v>
      </c>
      <c r="L471" s="5" t="str">
        <f>IFERROR(__xludf.DUMMYFUNCTION("""COMPUTED_VALUE"""),"Panama")</f>
        <v>Panama</v>
      </c>
      <c r="M471" s="5" t="str">
        <f>IFERROR(__xludf.DUMMYFUNCTION("""COMPUTED_VALUE"""),"Europe &amp; Central Asia")</f>
        <v>Europe &amp; Central Asia</v>
      </c>
      <c r="N471" s="5" t="str">
        <f>IFERROR(__xludf.DUMMYFUNCTION("""COMPUTED_VALUE"""),"Western Europe and Others")</f>
        <v>Western Europe and Others</v>
      </c>
      <c r="O471" s="5" t="str">
        <f>IFERROR(__xludf.DUMMYFUNCTION("""COMPUTED_VALUE"""),"developed")</f>
        <v>developed</v>
      </c>
      <c r="P471" s="5"/>
      <c r="Q471" s="5"/>
    </row>
    <row r="472">
      <c r="A472" s="5" t="str">
        <f>IFERROR(__xludf.DUMMYFUNCTION("""COMPUTED_VALUE"""),"Outbound")</f>
        <v>Outbound</v>
      </c>
      <c r="B472" s="5">
        <f>IFERROR(__xludf.DUMMYFUNCTION("""COMPUTED_VALUE"""),600.0)</f>
        <v>600</v>
      </c>
      <c r="C472" s="5" t="str">
        <f>IFERROR(__xludf.DUMMYFUNCTION("""COMPUTED_VALUE"""),"GREEN K-MAX2")</f>
        <v>GREEN K-MAX2</v>
      </c>
      <c r="D472" s="5">
        <f>IFERROR(__xludf.DUMMYFUNCTION("""COMPUTED_VALUE"""),9838060.0)</f>
        <v>9838060</v>
      </c>
      <c r="E472" s="5" t="str">
        <f>IFERROR(__xludf.DUMMYFUNCTION("""COMPUTED_VALUE"""),"Yuzhny/Pivdennyi")</f>
        <v>Yuzhny/Pivdennyi</v>
      </c>
      <c r="F472" s="5" t="str">
        <f>IFERROR(__xludf.DUMMYFUNCTION("""COMPUTED_VALUE"""),"China")</f>
        <v>China</v>
      </c>
      <c r="G472" s="5" t="str">
        <f>IFERROR(__xludf.DUMMYFUNCTION("""COMPUTED_VALUE"""),"Corn")</f>
        <v>Corn</v>
      </c>
      <c r="H472" s="6">
        <f>IFERROR(__xludf.DUMMYFUNCTION("""COMPUTED_VALUE"""),71970.0)</f>
        <v>71970</v>
      </c>
      <c r="I472" s="7">
        <f>IFERROR(__xludf.DUMMYFUNCTION("""COMPUTED_VALUE"""),44923.0)</f>
        <v>44923</v>
      </c>
      <c r="J472" s="7">
        <f>IFERROR(__xludf.DUMMYFUNCTION("""COMPUTED_VALUE"""),44933.0)</f>
        <v>44933</v>
      </c>
      <c r="K472" s="5" t="str">
        <f>IFERROR(__xludf.DUMMYFUNCTION("""COMPUTED_VALUE"""),"upper-middle-income")</f>
        <v>upper-middle-income</v>
      </c>
      <c r="L472" s="5" t="str">
        <f>IFERROR(__xludf.DUMMYFUNCTION("""COMPUTED_VALUE"""),"Liberia")</f>
        <v>Liberia</v>
      </c>
      <c r="M472" s="5" t="str">
        <f>IFERROR(__xludf.DUMMYFUNCTION("""COMPUTED_VALUE"""),"East Asia &amp; Pacific")</f>
        <v>East Asia &amp; Pacific</v>
      </c>
      <c r="N472" s="5" t="str">
        <f>IFERROR(__xludf.DUMMYFUNCTION("""COMPUTED_VALUE"""),"Asia-Pacific")</f>
        <v>Asia-Pacific</v>
      </c>
      <c r="O472" s="5" t="str">
        <f>IFERROR(__xludf.DUMMYFUNCTION("""COMPUTED_VALUE"""),"developing")</f>
        <v>developing</v>
      </c>
      <c r="P472" s="5"/>
      <c r="Q472" s="5"/>
    </row>
    <row r="473">
      <c r="A473" s="5" t="str">
        <f>IFERROR(__xludf.DUMMYFUNCTION("""COMPUTED_VALUE"""),"Outbound")</f>
        <v>Outbound</v>
      </c>
      <c r="B473" s="5">
        <f>IFERROR(__xludf.DUMMYFUNCTION("""COMPUTED_VALUE"""),599.0)</f>
        <v>599</v>
      </c>
      <c r="C473" s="5" t="str">
        <f>IFERROR(__xludf.DUMMYFUNCTION("""COMPUTED_VALUE"""),"PLEVNE")</f>
        <v>PLEVNE</v>
      </c>
      <c r="D473" s="5">
        <f>IFERROR(__xludf.DUMMYFUNCTION("""COMPUTED_VALUE"""),9340908.0)</f>
        <v>9340908</v>
      </c>
      <c r="E473" s="5" t="str">
        <f>IFERROR(__xludf.DUMMYFUNCTION("""COMPUTED_VALUE"""),"Odesa")</f>
        <v>Odesa</v>
      </c>
      <c r="F473" s="5" t="str">
        <f>IFERROR(__xludf.DUMMYFUNCTION("""COMPUTED_VALUE"""),"Italy")</f>
        <v>Italy</v>
      </c>
      <c r="G473" s="5" t="str">
        <f>IFERROR(__xludf.DUMMYFUNCTION("""COMPUTED_VALUE"""),"Sunflower oil")</f>
        <v>Sunflower oil</v>
      </c>
      <c r="H473" s="6">
        <f>IFERROR(__xludf.DUMMYFUNCTION("""COMPUTED_VALUE"""),7150.0)</f>
        <v>7150</v>
      </c>
      <c r="I473" s="7">
        <f>IFERROR(__xludf.DUMMYFUNCTION("""COMPUTED_VALUE"""),44922.0)</f>
        <v>44922</v>
      </c>
      <c r="J473" s="7">
        <f>IFERROR(__xludf.DUMMYFUNCTION("""COMPUTED_VALUE"""),44926.0)</f>
        <v>44926</v>
      </c>
      <c r="K473" s="5" t="str">
        <f>IFERROR(__xludf.DUMMYFUNCTION("""COMPUTED_VALUE"""),"high-income")</f>
        <v>high-income</v>
      </c>
      <c r="L473" s="5" t="str">
        <f>IFERROR(__xludf.DUMMYFUNCTION("""COMPUTED_VALUE"""),"Malta")</f>
        <v>Malta</v>
      </c>
      <c r="M473" s="5" t="str">
        <f>IFERROR(__xludf.DUMMYFUNCTION("""COMPUTED_VALUE"""),"Europe &amp; Central Asia")</f>
        <v>Europe &amp; Central Asia</v>
      </c>
      <c r="N473" s="5" t="str">
        <f>IFERROR(__xludf.DUMMYFUNCTION("""COMPUTED_VALUE"""),"Western Europe and Others")</f>
        <v>Western Europe and Others</v>
      </c>
      <c r="O473" s="5" t="str">
        <f>IFERROR(__xludf.DUMMYFUNCTION("""COMPUTED_VALUE"""),"developed")</f>
        <v>developed</v>
      </c>
      <c r="P473" s="5"/>
      <c r="Q473" s="5"/>
    </row>
    <row r="474">
      <c r="A474" s="5" t="str">
        <f>IFERROR(__xludf.DUMMYFUNCTION("""COMPUTED_VALUE"""),"Outbound")</f>
        <v>Outbound</v>
      </c>
      <c r="B474" s="5">
        <f>IFERROR(__xludf.DUMMYFUNCTION("""COMPUTED_VALUE"""),598.0)</f>
        <v>598</v>
      </c>
      <c r="C474" s="5" t="str">
        <f>IFERROR(__xludf.DUMMYFUNCTION("""COMPUTED_VALUE"""),"MONTARA")</f>
        <v>MONTARA</v>
      </c>
      <c r="D474" s="5">
        <f>IFERROR(__xludf.DUMMYFUNCTION("""COMPUTED_VALUE"""),9234202.0)</f>
        <v>9234202</v>
      </c>
      <c r="E474" s="5" t="str">
        <f>IFERROR(__xludf.DUMMYFUNCTION("""COMPUTED_VALUE"""),"Odesa")</f>
        <v>Odesa</v>
      </c>
      <c r="F474" s="5" t="str">
        <f>IFERROR(__xludf.DUMMYFUNCTION("""COMPUTED_VALUE"""),"Tunisia")</f>
        <v>Tunisia</v>
      </c>
      <c r="G474" s="5" t="str">
        <f>IFERROR(__xludf.DUMMYFUNCTION("""COMPUTED_VALUE"""),"Corn")</f>
        <v>Corn</v>
      </c>
      <c r="H474" s="6">
        <f>IFERROR(__xludf.DUMMYFUNCTION("""COMPUTED_VALUE"""),32000.0)</f>
        <v>32000</v>
      </c>
      <c r="I474" s="7">
        <f>IFERROR(__xludf.DUMMYFUNCTION("""COMPUTED_VALUE"""),44922.0)</f>
        <v>44922</v>
      </c>
      <c r="J474" s="7">
        <f>IFERROR(__xludf.DUMMYFUNCTION("""COMPUTED_VALUE"""),44932.0)</f>
        <v>44932</v>
      </c>
      <c r="K474" s="5" t="str">
        <f>IFERROR(__xludf.DUMMYFUNCTION("""COMPUTED_VALUE"""),"lower-middle income")</f>
        <v>lower-middle income</v>
      </c>
      <c r="L474" s="5" t="str">
        <f>IFERROR(__xludf.DUMMYFUNCTION("""COMPUTED_VALUE"""),"Barbados")</f>
        <v>Barbados</v>
      </c>
      <c r="M474" s="5" t="str">
        <f>IFERROR(__xludf.DUMMYFUNCTION("""COMPUTED_VALUE"""),"Middle East &amp; North Africa")</f>
        <v>Middle East &amp; North Africa</v>
      </c>
      <c r="N474" s="5" t="str">
        <f>IFERROR(__xludf.DUMMYFUNCTION("""COMPUTED_VALUE"""),"Africa")</f>
        <v>Africa</v>
      </c>
      <c r="O474" s="5" t="str">
        <f>IFERROR(__xludf.DUMMYFUNCTION("""COMPUTED_VALUE"""),"developing")</f>
        <v>developing</v>
      </c>
      <c r="P474" s="5"/>
      <c r="Q474" s="5"/>
    </row>
    <row r="475">
      <c r="A475" s="5" t="str">
        <f>IFERROR(__xludf.DUMMYFUNCTION("""COMPUTED_VALUE"""),"Outbound")</f>
        <v>Outbound</v>
      </c>
      <c r="B475" s="5">
        <f>IFERROR(__xludf.DUMMYFUNCTION("""COMPUTED_VALUE"""),597.0)</f>
        <v>597</v>
      </c>
      <c r="C475" s="5" t="str">
        <f>IFERROR(__xludf.DUMMYFUNCTION("""COMPUTED_VALUE"""),"MAROULIO S")</f>
        <v>MAROULIO S</v>
      </c>
      <c r="D475" s="5">
        <f>IFERROR(__xludf.DUMMYFUNCTION("""COMPUTED_VALUE"""),9493511.0)</f>
        <v>9493511</v>
      </c>
      <c r="E475" s="5" t="str">
        <f>IFERROR(__xludf.DUMMYFUNCTION("""COMPUTED_VALUE"""),"Chornomorsk")</f>
        <v>Chornomorsk</v>
      </c>
      <c r="F475" s="5" t="str">
        <f>IFERROR(__xludf.DUMMYFUNCTION("""COMPUTED_VALUE"""),"China")</f>
        <v>China</v>
      </c>
      <c r="G475" s="5" t="str">
        <f>IFERROR(__xludf.DUMMYFUNCTION("""COMPUTED_VALUE"""),"Corn")</f>
        <v>Corn</v>
      </c>
      <c r="H475" s="6">
        <f>IFERROR(__xludf.DUMMYFUNCTION("""COMPUTED_VALUE"""),63367.0)</f>
        <v>63367</v>
      </c>
      <c r="I475" s="7">
        <f>IFERROR(__xludf.DUMMYFUNCTION("""COMPUTED_VALUE"""),44922.0)</f>
        <v>44922</v>
      </c>
      <c r="J475" s="7">
        <f>IFERROR(__xludf.DUMMYFUNCTION("""COMPUTED_VALUE"""),44926.0)</f>
        <v>44926</v>
      </c>
      <c r="K475" s="5" t="str">
        <f>IFERROR(__xludf.DUMMYFUNCTION("""COMPUTED_VALUE"""),"upper-middle-income")</f>
        <v>upper-middle-income</v>
      </c>
      <c r="L475" s="5" t="str">
        <f>IFERROR(__xludf.DUMMYFUNCTION("""COMPUTED_VALUE"""),"Liberia")</f>
        <v>Liberia</v>
      </c>
      <c r="M475" s="5" t="str">
        <f>IFERROR(__xludf.DUMMYFUNCTION("""COMPUTED_VALUE"""),"East Asia &amp; Pacific")</f>
        <v>East Asia &amp; Pacific</v>
      </c>
      <c r="N475" s="5" t="str">
        <f>IFERROR(__xludf.DUMMYFUNCTION("""COMPUTED_VALUE"""),"Asia-Pacific")</f>
        <v>Asia-Pacific</v>
      </c>
      <c r="O475" s="5" t="str">
        <f>IFERROR(__xludf.DUMMYFUNCTION("""COMPUTED_VALUE"""),"developing")</f>
        <v>developing</v>
      </c>
      <c r="P475" s="5"/>
      <c r="Q475" s="5"/>
    </row>
    <row r="476">
      <c r="A476" s="5" t="str">
        <f>IFERROR(__xludf.DUMMYFUNCTION("""COMPUTED_VALUE"""),"Outbound")</f>
        <v>Outbound</v>
      </c>
      <c r="B476" s="5">
        <f>IFERROR(__xludf.DUMMYFUNCTION("""COMPUTED_VALUE"""),596.0)</f>
        <v>596</v>
      </c>
      <c r="C476" s="5" t="str">
        <f>IFERROR(__xludf.DUMMYFUNCTION("""COMPUTED_VALUE"""),"LUGANO")</f>
        <v>LUGANO</v>
      </c>
      <c r="D476" s="5">
        <f>IFERROR(__xludf.DUMMYFUNCTION("""COMPUTED_VALUE"""),9132662.0)</f>
        <v>9132662</v>
      </c>
      <c r="E476" s="5" t="str">
        <f>IFERROR(__xludf.DUMMYFUNCTION("""COMPUTED_VALUE"""),"Chornomorsk")</f>
        <v>Chornomorsk</v>
      </c>
      <c r="F476" s="5" t="str">
        <f>IFERROR(__xludf.DUMMYFUNCTION("""COMPUTED_VALUE"""),"Italy")</f>
        <v>Italy</v>
      </c>
      <c r="G476" s="5" t="str">
        <f>IFERROR(__xludf.DUMMYFUNCTION("""COMPUTED_VALUE"""),"Corn")</f>
        <v>Corn</v>
      </c>
      <c r="H476" s="6">
        <f>IFERROR(__xludf.DUMMYFUNCTION("""COMPUTED_VALUE"""),27000.0)</f>
        <v>27000</v>
      </c>
      <c r="I476" s="7">
        <f>IFERROR(__xludf.DUMMYFUNCTION("""COMPUTED_VALUE"""),44922.0)</f>
        <v>44922</v>
      </c>
      <c r="J476" s="7">
        <f>IFERROR(__xludf.DUMMYFUNCTION("""COMPUTED_VALUE"""),44931.0)</f>
        <v>44931</v>
      </c>
      <c r="K476" s="5" t="str">
        <f>IFERROR(__xludf.DUMMYFUNCTION("""COMPUTED_VALUE"""),"high-income")</f>
        <v>high-income</v>
      </c>
      <c r="L476" s="5" t="str">
        <f>IFERROR(__xludf.DUMMYFUNCTION("""COMPUTED_VALUE"""),"Cook Islands")</f>
        <v>Cook Islands</v>
      </c>
      <c r="M476" s="5" t="str">
        <f>IFERROR(__xludf.DUMMYFUNCTION("""COMPUTED_VALUE"""),"Europe &amp; Central Asia")</f>
        <v>Europe &amp; Central Asia</v>
      </c>
      <c r="N476" s="5" t="str">
        <f>IFERROR(__xludf.DUMMYFUNCTION("""COMPUTED_VALUE"""),"Western Europe and Others")</f>
        <v>Western Europe and Others</v>
      </c>
      <c r="O476" s="5" t="str">
        <f>IFERROR(__xludf.DUMMYFUNCTION("""COMPUTED_VALUE"""),"developed")</f>
        <v>developed</v>
      </c>
      <c r="P476" s="5"/>
      <c r="Q476" s="5"/>
    </row>
    <row r="477">
      <c r="A477" s="5" t="str">
        <f>IFERROR(__xludf.DUMMYFUNCTION("""COMPUTED_VALUE"""),"Outbound")</f>
        <v>Outbound</v>
      </c>
      <c r="B477" s="5">
        <f>IFERROR(__xludf.DUMMYFUNCTION("""COMPUTED_VALUE"""),595.0)</f>
        <v>595</v>
      </c>
      <c r="C477" s="5" t="str">
        <f>IFERROR(__xludf.DUMMYFUNCTION("""COMPUTED_VALUE"""),"KIRAN ADRIATIC")</f>
        <v>KIRAN ADRIATIC</v>
      </c>
      <c r="D477" s="5">
        <f>IFERROR(__xludf.DUMMYFUNCTION("""COMPUTED_VALUE"""),9653185.0)</f>
        <v>9653185</v>
      </c>
      <c r="E477" s="5" t="str">
        <f>IFERROR(__xludf.DUMMYFUNCTION("""COMPUTED_VALUE"""),"Chornomorsk")</f>
        <v>Chornomorsk</v>
      </c>
      <c r="F477" s="5" t="str">
        <f>IFERROR(__xludf.DUMMYFUNCTION("""COMPUTED_VALUE"""),"China")</f>
        <v>China</v>
      </c>
      <c r="G477" s="5" t="str">
        <f>IFERROR(__xludf.DUMMYFUNCTION("""COMPUTED_VALUE"""),"Corn")</f>
        <v>Corn</v>
      </c>
      <c r="H477" s="6">
        <f>IFERROR(__xludf.DUMMYFUNCTION("""COMPUTED_VALUE"""),55000.0)</f>
        <v>55000</v>
      </c>
      <c r="I477" s="7">
        <f>IFERROR(__xludf.DUMMYFUNCTION("""COMPUTED_VALUE"""),44922.0)</f>
        <v>44922</v>
      </c>
      <c r="J477" s="7">
        <f>IFERROR(__xludf.DUMMYFUNCTION("""COMPUTED_VALUE"""),44926.0)</f>
        <v>44926</v>
      </c>
      <c r="K477" s="5" t="str">
        <f>IFERROR(__xludf.DUMMYFUNCTION("""COMPUTED_VALUE"""),"upper-middle-income")</f>
        <v>upper-middle-income</v>
      </c>
      <c r="L477" s="5" t="str">
        <f>IFERROR(__xludf.DUMMYFUNCTION("""COMPUTED_VALUE"""),"Malta")</f>
        <v>Malta</v>
      </c>
      <c r="M477" s="5" t="str">
        <f>IFERROR(__xludf.DUMMYFUNCTION("""COMPUTED_VALUE"""),"East Asia &amp; Pacific")</f>
        <v>East Asia &amp; Pacific</v>
      </c>
      <c r="N477" s="5" t="str">
        <f>IFERROR(__xludf.DUMMYFUNCTION("""COMPUTED_VALUE"""),"Asia-Pacific")</f>
        <v>Asia-Pacific</v>
      </c>
      <c r="O477" s="5" t="str">
        <f>IFERROR(__xludf.DUMMYFUNCTION("""COMPUTED_VALUE"""),"developing")</f>
        <v>developing</v>
      </c>
      <c r="P477" s="5"/>
      <c r="Q477" s="5"/>
    </row>
    <row r="478">
      <c r="A478" s="5" t="str">
        <f>IFERROR(__xludf.DUMMYFUNCTION("""COMPUTED_VALUE"""),"Outbound")</f>
        <v>Outbound</v>
      </c>
      <c r="B478" s="5">
        <f>IFERROR(__xludf.DUMMYFUNCTION("""COMPUTED_VALUE"""),594.0)</f>
        <v>594</v>
      </c>
      <c r="C478" s="5" t="str">
        <f>IFERROR(__xludf.DUMMYFUNCTION("""COMPUTED_VALUE"""),"EUROCHAMPION")</f>
        <v>EUROCHAMPION</v>
      </c>
      <c r="D478" s="5">
        <f>IFERROR(__xludf.DUMMYFUNCTION("""COMPUTED_VALUE"""),9895903.0)</f>
        <v>9895903</v>
      </c>
      <c r="E478" s="5" t="str">
        <f>IFERROR(__xludf.DUMMYFUNCTION("""COMPUTED_VALUE"""),"Yuzhny/Pivdennyi")</f>
        <v>Yuzhny/Pivdennyi</v>
      </c>
      <c r="F478" s="5" t="str">
        <f>IFERROR(__xludf.DUMMYFUNCTION("""COMPUTED_VALUE"""),"India")</f>
        <v>India</v>
      </c>
      <c r="G478" s="5" t="str">
        <f>IFERROR(__xludf.DUMMYFUNCTION("""COMPUTED_VALUE"""),"Sunflower oil")</f>
        <v>Sunflower oil</v>
      </c>
      <c r="H478" s="6">
        <f>IFERROR(__xludf.DUMMYFUNCTION("""COMPUTED_VALUE"""),45000.0)</f>
        <v>45000</v>
      </c>
      <c r="I478" s="7">
        <f>IFERROR(__xludf.DUMMYFUNCTION("""COMPUTED_VALUE"""),44921.0)</f>
        <v>44921</v>
      </c>
      <c r="J478" s="7">
        <f>IFERROR(__xludf.DUMMYFUNCTION("""COMPUTED_VALUE"""),44926.0)</f>
        <v>44926</v>
      </c>
      <c r="K478" s="5" t="str">
        <f>IFERROR(__xludf.DUMMYFUNCTION("""COMPUTED_VALUE"""),"lower-middle income")</f>
        <v>lower-middle income</v>
      </c>
      <c r="L478" s="5" t="str">
        <f>IFERROR(__xludf.DUMMYFUNCTION("""COMPUTED_VALUE"""),"Malta")</f>
        <v>Malta</v>
      </c>
      <c r="M478" s="5" t="str">
        <f>IFERROR(__xludf.DUMMYFUNCTION("""COMPUTED_VALUE"""),"South Asia")</f>
        <v>South Asia</v>
      </c>
      <c r="N478" s="5" t="str">
        <f>IFERROR(__xludf.DUMMYFUNCTION("""COMPUTED_VALUE"""),"Asia-Pacific")</f>
        <v>Asia-Pacific</v>
      </c>
      <c r="O478" s="5" t="str">
        <f>IFERROR(__xludf.DUMMYFUNCTION("""COMPUTED_VALUE"""),"developing")</f>
        <v>developing</v>
      </c>
      <c r="P478" s="5"/>
      <c r="Q478" s="5"/>
    </row>
    <row r="479">
      <c r="A479" s="5" t="str">
        <f>IFERROR(__xludf.DUMMYFUNCTION("""COMPUTED_VALUE"""),"Outbound")</f>
        <v>Outbound</v>
      </c>
      <c r="B479" s="5">
        <f>IFERROR(__xludf.DUMMYFUNCTION("""COMPUTED_VALUE"""),593.0)</f>
        <v>593</v>
      </c>
      <c r="C479" s="5" t="str">
        <f>IFERROR(__xludf.DUMMYFUNCTION("""COMPUTED_VALUE"""),"ALANDA STAR")</f>
        <v>ALANDA STAR</v>
      </c>
      <c r="D479" s="5">
        <f>IFERROR(__xludf.DUMMYFUNCTION("""COMPUTED_VALUE"""),9189677.0)</f>
        <v>9189677</v>
      </c>
      <c r="E479" s="5" t="str">
        <f>IFERROR(__xludf.DUMMYFUNCTION("""COMPUTED_VALUE"""),"Chornomorsk")</f>
        <v>Chornomorsk</v>
      </c>
      <c r="F479" s="5" t="str">
        <f>IFERROR(__xludf.DUMMYFUNCTION("""COMPUTED_VALUE"""),"Egypt")</f>
        <v>Egypt</v>
      </c>
      <c r="G479" s="5" t="str">
        <f>IFERROR(__xludf.DUMMYFUNCTION("""COMPUTED_VALUE"""),"Wheat")</f>
        <v>Wheat</v>
      </c>
      <c r="H479" s="6">
        <f>IFERROR(__xludf.DUMMYFUNCTION("""COMPUTED_VALUE"""),30800.0)</f>
        <v>30800</v>
      </c>
      <c r="I479" s="7">
        <f>IFERROR(__xludf.DUMMYFUNCTION("""COMPUTED_VALUE"""),44921.0)</f>
        <v>44921</v>
      </c>
      <c r="J479" s="7">
        <f>IFERROR(__xludf.DUMMYFUNCTION("""COMPUTED_VALUE"""),44930.0)</f>
        <v>44930</v>
      </c>
      <c r="K479" s="5" t="str">
        <f>IFERROR(__xludf.DUMMYFUNCTION("""COMPUTED_VALUE"""),"lower-middle income")</f>
        <v>lower-middle income</v>
      </c>
      <c r="L479" s="5" t="str">
        <f>IFERROR(__xludf.DUMMYFUNCTION("""COMPUTED_VALUE"""),"Barbados")</f>
        <v>Barbados</v>
      </c>
      <c r="M479" s="5" t="str">
        <f>IFERROR(__xludf.DUMMYFUNCTION("""COMPUTED_VALUE"""),"Middle East &amp; North Africa")</f>
        <v>Middle East &amp; North Africa</v>
      </c>
      <c r="N479" s="5" t="str">
        <f>IFERROR(__xludf.DUMMYFUNCTION("""COMPUTED_VALUE"""),"Africa")</f>
        <v>Africa</v>
      </c>
      <c r="O479" s="5" t="str">
        <f>IFERROR(__xludf.DUMMYFUNCTION("""COMPUTED_VALUE"""),"developing")</f>
        <v>developing</v>
      </c>
      <c r="P479" s="5"/>
      <c r="Q479" s="5"/>
    </row>
    <row r="480">
      <c r="A480" s="5" t="str">
        <f>IFERROR(__xludf.DUMMYFUNCTION("""COMPUTED_VALUE"""),"Outbound")</f>
        <v>Outbound</v>
      </c>
      <c r="B480" s="5">
        <f>IFERROR(__xludf.DUMMYFUNCTION("""COMPUTED_VALUE"""),592.0)</f>
        <v>592</v>
      </c>
      <c r="C480" s="5" t="str">
        <f>IFERROR(__xludf.DUMMYFUNCTION("""COMPUTED_VALUE"""),"SSI PRIVILEGE")</f>
        <v>SSI PRIVILEGE</v>
      </c>
      <c r="D480" s="5">
        <f>IFERROR(__xludf.DUMMYFUNCTION("""COMPUTED_VALUE"""),9848089.0)</f>
        <v>9848089</v>
      </c>
      <c r="E480" s="5" t="str">
        <f>IFERROR(__xludf.DUMMYFUNCTION("""COMPUTED_VALUE"""),"Chornomorsk")</f>
        <v>Chornomorsk</v>
      </c>
      <c r="F480" s="5" t="str">
        <f>IFERROR(__xludf.DUMMYFUNCTION("""COMPUTED_VALUE"""),"Indonesia")</f>
        <v>Indonesia</v>
      </c>
      <c r="G480" s="5" t="str">
        <f>IFERROR(__xludf.DUMMYFUNCTION("""COMPUTED_VALUE"""),"Wheat")</f>
        <v>Wheat</v>
      </c>
      <c r="H480" s="6">
        <f>IFERROR(__xludf.DUMMYFUNCTION("""COMPUTED_VALUE"""),59010.0)</f>
        <v>59010</v>
      </c>
      <c r="I480" s="7">
        <f>IFERROR(__xludf.DUMMYFUNCTION("""COMPUTED_VALUE"""),44920.0)</f>
        <v>44920</v>
      </c>
      <c r="J480" s="7">
        <f>IFERROR(__xludf.DUMMYFUNCTION("""COMPUTED_VALUE"""),44929.0)</f>
        <v>44929</v>
      </c>
      <c r="K480" s="5" t="str">
        <f>IFERROR(__xludf.DUMMYFUNCTION("""COMPUTED_VALUE"""),"lower-middle income")</f>
        <v>lower-middle income</v>
      </c>
      <c r="L480" s="5" t="str">
        <f>IFERROR(__xludf.DUMMYFUNCTION("""COMPUTED_VALUE"""),"Marshall Islands")</f>
        <v>Marshall Islands</v>
      </c>
      <c r="M480" s="5" t="str">
        <f>IFERROR(__xludf.DUMMYFUNCTION("""COMPUTED_VALUE"""),"East Asia &amp; Pacific")</f>
        <v>East Asia &amp; Pacific</v>
      </c>
      <c r="N480" s="5" t="str">
        <f>IFERROR(__xludf.DUMMYFUNCTION("""COMPUTED_VALUE"""),"Asia-Pacific")</f>
        <v>Asia-Pacific</v>
      </c>
      <c r="O480" s="5" t="str">
        <f>IFERROR(__xludf.DUMMYFUNCTION("""COMPUTED_VALUE"""),"developing")</f>
        <v>developing</v>
      </c>
      <c r="P480" s="5"/>
      <c r="Q480" s="5"/>
    </row>
    <row r="481">
      <c r="A481" s="5" t="str">
        <f>IFERROR(__xludf.DUMMYFUNCTION("""COMPUTED_VALUE"""),"Outbound")</f>
        <v>Outbound</v>
      </c>
      <c r="B481" s="5">
        <f>IFERROR(__xludf.DUMMYFUNCTION("""COMPUTED_VALUE"""),591.0)</f>
        <v>591</v>
      </c>
      <c r="C481" s="5" t="str">
        <f>IFERROR(__xludf.DUMMYFUNCTION("""COMPUTED_VALUE"""),"PROFESSOR B")</f>
        <v>PROFESSOR B</v>
      </c>
      <c r="D481" s="5">
        <f>IFERROR(__xludf.DUMMYFUNCTION("""COMPUTED_VALUE"""),8401523.0)</f>
        <v>8401523</v>
      </c>
      <c r="E481" s="5" t="str">
        <f>IFERROR(__xludf.DUMMYFUNCTION("""COMPUTED_VALUE"""),"Odesa")</f>
        <v>Odesa</v>
      </c>
      <c r="F481" s="5" t="str">
        <f>IFERROR(__xludf.DUMMYFUNCTION("""COMPUTED_VALUE"""),"Egypt")</f>
        <v>Egypt</v>
      </c>
      <c r="G481" s="5" t="str">
        <f>IFERROR(__xludf.DUMMYFUNCTION("""COMPUTED_VALUE"""),"Soya beans")</f>
        <v>Soya beans</v>
      </c>
      <c r="H481" s="6">
        <f>IFERROR(__xludf.DUMMYFUNCTION("""COMPUTED_VALUE"""),10997.0)</f>
        <v>10997</v>
      </c>
      <c r="I481" s="7">
        <f>IFERROR(__xludf.DUMMYFUNCTION("""COMPUTED_VALUE"""),44920.0)</f>
        <v>44920</v>
      </c>
      <c r="J481" s="7">
        <f>IFERROR(__xludf.DUMMYFUNCTION("""COMPUTED_VALUE"""),44930.0)</f>
        <v>44930</v>
      </c>
      <c r="K481" s="5" t="str">
        <f>IFERROR(__xludf.DUMMYFUNCTION("""COMPUTED_VALUE"""),"lower-middle income")</f>
        <v>lower-middle income</v>
      </c>
      <c r="L481" s="5" t="str">
        <f>IFERROR(__xludf.DUMMYFUNCTION("""COMPUTED_VALUE"""),"Comoros")</f>
        <v>Comoros</v>
      </c>
      <c r="M481" s="5" t="str">
        <f>IFERROR(__xludf.DUMMYFUNCTION("""COMPUTED_VALUE"""),"Middle East &amp; North Africa")</f>
        <v>Middle East &amp; North Africa</v>
      </c>
      <c r="N481" s="5" t="str">
        <f>IFERROR(__xludf.DUMMYFUNCTION("""COMPUTED_VALUE"""),"Africa")</f>
        <v>Africa</v>
      </c>
      <c r="O481" s="5" t="str">
        <f>IFERROR(__xludf.DUMMYFUNCTION("""COMPUTED_VALUE"""),"developing")</f>
        <v>developing</v>
      </c>
      <c r="P481" s="5"/>
      <c r="Q481" s="5"/>
    </row>
    <row r="482">
      <c r="A482" s="5" t="str">
        <f>IFERROR(__xludf.DUMMYFUNCTION("""COMPUTED_VALUE"""),"Outbound +")</f>
        <v>Outbound +</v>
      </c>
      <c r="B482" s="5">
        <f>IFERROR(__xludf.DUMMYFUNCTION("""COMPUTED_VALUE"""),591.0)</f>
        <v>591</v>
      </c>
      <c r="C482" s="5" t="str">
        <f>IFERROR(__xludf.DUMMYFUNCTION("""COMPUTED_VALUE"""),"PROFESSOR B")</f>
        <v>PROFESSOR B</v>
      </c>
      <c r="D482" s="5">
        <f>IFERROR(__xludf.DUMMYFUNCTION("""COMPUTED_VALUE"""),8401523.0)</f>
        <v>8401523</v>
      </c>
      <c r="E482" s="5" t="str">
        <f>IFERROR(__xludf.DUMMYFUNCTION("""COMPUTED_VALUE"""),"Odesa")</f>
        <v>Odesa</v>
      </c>
      <c r="F482" s="5" t="str">
        <f>IFERROR(__xludf.DUMMYFUNCTION("""COMPUTED_VALUE"""),"Egypt")</f>
        <v>Egypt</v>
      </c>
      <c r="G482" s="5" t="str">
        <f>IFERROR(__xludf.DUMMYFUNCTION("""COMPUTED_VALUE"""),"Sunflower meal")</f>
        <v>Sunflower meal</v>
      </c>
      <c r="H482" s="6">
        <f>IFERROR(__xludf.DUMMYFUNCTION("""COMPUTED_VALUE"""),1503.0)</f>
        <v>1503</v>
      </c>
      <c r="I482" s="7">
        <f>IFERROR(__xludf.DUMMYFUNCTION("""COMPUTED_VALUE"""),44920.0)</f>
        <v>44920</v>
      </c>
      <c r="J482" s="7">
        <f>IFERROR(__xludf.DUMMYFUNCTION("""COMPUTED_VALUE"""),44930.0)</f>
        <v>44930</v>
      </c>
      <c r="K482" s="5" t="str">
        <f>IFERROR(__xludf.DUMMYFUNCTION("""COMPUTED_VALUE"""),"lower-middle income")</f>
        <v>lower-middle income</v>
      </c>
      <c r="L482" s="5" t="str">
        <f>IFERROR(__xludf.DUMMYFUNCTION("""COMPUTED_VALUE"""),"Comoros")</f>
        <v>Comoros</v>
      </c>
      <c r="M482" s="5" t="str">
        <f>IFERROR(__xludf.DUMMYFUNCTION("""COMPUTED_VALUE"""),"Middle East &amp; North Africa")</f>
        <v>Middle East &amp; North Africa</v>
      </c>
      <c r="N482" s="5" t="str">
        <f>IFERROR(__xludf.DUMMYFUNCTION("""COMPUTED_VALUE"""),"Africa")</f>
        <v>Africa</v>
      </c>
      <c r="O482" s="5" t="str">
        <f>IFERROR(__xludf.DUMMYFUNCTION("""COMPUTED_VALUE"""),"developing")</f>
        <v>developing</v>
      </c>
      <c r="P482" s="5"/>
      <c r="Q482" s="5"/>
    </row>
    <row r="483">
      <c r="A483" s="5" t="str">
        <f>IFERROR(__xludf.DUMMYFUNCTION("""COMPUTED_VALUE"""),"Outbound")</f>
        <v>Outbound</v>
      </c>
      <c r="B483" s="5">
        <f>IFERROR(__xludf.DUMMYFUNCTION("""COMPUTED_VALUE"""),590.0)</f>
        <v>590</v>
      </c>
      <c r="C483" s="5" t="str">
        <f>IFERROR(__xludf.DUMMYFUNCTION("""COMPUTED_VALUE"""),"PHAIDRA")</f>
        <v>PHAIDRA</v>
      </c>
      <c r="D483" s="5">
        <f>IFERROR(__xludf.DUMMYFUNCTION("""COMPUTED_VALUE"""),9661211.0)</f>
        <v>9661211</v>
      </c>
      <c r="E483" s="5" t="str">
        <f>IFERROR(__xludf.DUMMYFUNCTION("""COMPUTED_VALUE"""),"Yuzhny/Pivdennyi")</f>
        <v>Yuzhny/Pivdennyi</v>
      </c>
      <c r="F483" s="5" t="str">
        <f>IFERROR(__xludf.DUMMYFUNCTION("""COMPUTED_VALUE"""),"China")</f>
        <v>China</v>
      </c>
      <c r="G483" s="5" t="str">
        <f>IFERROR(__xludf.DUMMYFUNCTION("""COMPUTED_VALUE"""),"Corn")</f>
        <v>Corn</v>
      </c>
      <c r="H483" s="6">
        <f>IFERROR(__xludf.DUMMYFUNCTION("""COMPUTED_VALUE"""),72600.0)</f>
        <v>72600</v>
      </c>
      <c r="I483" s="7">
        <f>IFERROR(__xludf.DUMMYFUNCTION("""COMPUTED_VALUE"""),44920.0)</f>
        <v>44920</v>
      </c>
      <c r="J483" s="7">
        <f>IFERROR(__xludf.DUMMYFUNCTION("""COMPUTED_VALUE"""),44941.0)</f>
        <v>44941</v>
      </c>
      <c r="K483" s="5" t="str">
        <f>IFERROR(__xludf.DUMMYFUNCTION("""COMPUTED_VALUE"""),"upper-middle-income")</f>
        <v>upper-middle-income</v>
      </c>
      <c r="L483" s="5" t="str">
        <f>IFERROR(__xludf.DUMMYFUNCTION("""COMPUTED_VALUE"""),"Marshall Islands")</f>
        <v>Marshall Islands</v>
      </c>
      <c r="M483" s="5" t="str">
        <f>IFERROR(__xludf.DUMMYFUNCTION("""COMPUTED_VALUE"""),"East Asia &amp; Pacific")</f>
        <v>East Asia &amp; Pacific</v>
      </c>
      <c r="N483" s="5" t="str">
        <f>IFERROR(__xludf.DUMMYFUNCTION("""COMPUTED_VALUE"""),"Asia-Pacific")</f>
        <v>Asia-Pacific</v>
      </c>
      <c r="O483" s="5" t="str">
        <f>IFERROR(__xludf.DUMMYFUNCTION("""COMPUTED_VALUE"""),"developing")</f>
        <v>developing</v>
      </c>
      <c r="P483" s="5"/>
      <c r="Q483" s="5"/>
    </row>
    <row r="484">
      <c r="A484" s="5" t="str">
        <f>IFERROR(__xludf.DUMMYFUNCTION("""COMPUTED_VALUE"""),"Outbound")</f>
        <v>Outbound</v>
      </c>
      <c r="B484" s="5">
        <f>IFERROR(__xludf.DUMMYFUNCTION("""COMPUTED_VALUE"""),589.0)</f>
        <v>589</v>
      </c>
      <c r="C484" s="5" t="str">
        <f>IFERROR(__xludf.DUMMYFUNCTION("""COMPUTED_VALUE"""),"GLORY")</f>
        <v>GLORY</v>
      </c>
      <c r="D484" s="5">
        <f>IFERROR(__xludf.DUMMYFUNCTION("""COMPUTED_VALUE"""),9288473.0)</f>
        <v>9288473</v>
      </c>
      <c r="E484" s="5" t="str">
        <f>IFERROR(__xludf.DUMMYFUNCTION("""COMPUTED_VALUE"""),"Chornomorsk")</f>
        <v>Chornomorsk</v>
      </c>
      <c r="F484" s="5" t="str">
        <f>IFERROR(__xludf.DUMMYFUNCTION("""COMPUTED_VALUE"""),"China")</f>
        <v>China</v>
      </c>
      <c r="G484" s="5" t="str">
        <f>IFERROR(__xludf.DUMMYFUNCTION("""COMPUTED_VALUE"""),"Corn")</f>
        <v>Corn</v>
      </c>
      <c r="H484" s="6">
        <f>IFERROR(__xludf.DUMMYFUNCTION("""COMPUTED_VALUE"""),65970.0)</f>
        <v>65970</v>
      </c>
      <c r="I484" s="7">
        <f>IFERROR(__xludf.DUMMYFUNCTION("""COMPUTED_VALUE"""),44920.0)</f>
        <v>44920</v>
      </c>
      <c r="J484" s="7">
        <f>IFERROR(__xludf.DUMMYFUNCTION("""COMPUTED_VALUE"""),44929.0)</f>
        <v>44929</v>
      </c>
      <c r="K484" s="5" t="str">
        <f>IFERROR(__xludf.DUMMYFUNCTION("""COMPUTED_VALUE"""),"upper-middle-income")</f>
        <v>upper-middle-income</v>
      </c>
      <c r="L484" s="5" t="str">
        <f>IFERROR(__xludf.DUMMYFUNCTION("""COMPUTED_VALUE"""),"Marshall Islands")</f>
        <v>Marshall Islands</v>
      </c>
      <c r="M484" s="5" t="str">
        <f>IFERROR(__xludf.DUMMYFUNCTION("""COMPUTED_VALUE"""),"East Asia &amp; Pacific")</f>
        <v>East Asia &amp; Pacific</v>
      </c>
      <c r="N484" s="5" t="str">
        <f>IFERROR(__xludf.DUMMYFUNCTION("""COMPUTED_VALUE"""),"Asia-Pacific")</f>
        <v>Asia-Pacific</v>
      </c>
      <c r="O484" s="5" t="str">
        <f>IFERROR(__xludf.DUMMYFUNCTION("""COMPUTED_VALUE"""),"developing")</f>
        <v>developing</v>
      </c>
      <c r="P484" s="5"/>
      <c r="Q484" s="5"/>
    </row>
    <row r="485">
      <c r="A485" s="5" t="str">
        <f>IFERROR(__xludf.DUMMYFUNCTION("""COMPUTED_VALUE"""),"Outbound")</f>
        <v>Outbound</v>
      </c>
      <c r="B485" s="5">
        <f>IFERROR(__xludf.DUMMYFUNCTION("""COMPUTED_VALUE"""),588.0)</f>
        <v>588</v>
      </c>
      <c r="C485" s="5" t="str">
        <f>IFERROR(__xludf.DUMMYFUNCTION("""COMPUTED_VALUE"""),"FANEROMENI")</f>
        <v>FANEROMENI</v>
      </c>
      <c r="D485" s="5">
        <f>IFERROR(__xludf.DUMMYFUNCTION("""COMPUTED_VALUE"""),9343857.0)</f>
        <v>9343857</v>
      </c>
      <c r="E485" s="5" t="str">
        <f>IFERROR(__xludf.DUMMYFUNCTION("""COMPUTED_VALUE"""),"Yuzhny/Pivdennyi")</f>
        <v>Yuzhny/Pivdennyi</v>
      </c>
      <c r="F485" s="5" t="str">
        <f>IFERROR(__xludf.DUMMYFUNCTION("""COMPUTED_VALUE"""),"China")</f>
        <v>China</v>
      </c>
      <c r="G485" s="5" t="str">
        <f>IFERROR(__xludf.DUMMYFUNCTION("""COMPUTED_VALUE"""),"Corn")</f>
        <v>Corn</v>
      </c>
      <c r="H485" s="6">
        <f>IFERROR(__xludf.DUMMYFUNCTION("""COMPUTED_VALUE"""),71500.0)</f>
        <v>71500</v>
      </c>
      <c r="I485" s="7">
        <f>IFERROR(__xludf.DUMMYFUNCTION("""COMPUTED_VALUE"""),44920.0)</f>
        <v>44920</v>
      </c>
      <c r="J485" s="7">
        <f>IFERROR(__xludf.DUMMYFUNCTION("""COMPUTED_VALUE"""),44926.0)</f>
        <v>44926</v>
      </c>
      <c r="K485" s="5" t="str">
        <f>IFERROR(__xludf.DUMMYFUNCTION("""COMPUTED_VALUE"""),"upper-middle-income")</f>
        <v>upper-middle-income</v>
      </c>
      <c r="L485" s="5" t="str">
        <f>IFERROR(__xludf.DUMMYFUNCTION("""COMPUTED_VALUE"""),"Liberia")</f>
        <v>Liberia</v>
      </c>
      <c r="M485" s="5" t="str">
        <f>IFERROR(__xludf.DUMMYFUNCTION("""COMPUTED_VALUE"""),"East Asia &amp; Pacific")</f>
        <v>East Asia &amp; Pacific</v>
      </c>
      <c r="N485" s="5" t="str">
        <f>IFERROR(__xludf.DUMMYFUNCTION("""COMPUTED_VALUE"""),"Asia-Pacific")</f>
        <v>Asia-Pacific</v>
      </c>
      <c r="O485" s="5" t="str">
        <f>IFERROR(__xludf.DUMMYFUNCTION("""COMPUTED_VALUE"""),"developing")</f>
        <v>developing</v>
      </c>
      <c r="P485" s="5"/>
      <c r="Q485" s="5"/>
    </row>
    <row r="486">
      <c r="A486" s="5" t="str">
        <f>IFERROR(__xludf.DUMMYFUNCTION("""COMPUTED_VALUE"""),"Outbound")</f>
        <v>Outbound</v>
      </c>
      <c r="B486" s="5">
        <f>IFERROR(__xludf.DUMMYFUNCTION("""COMPUTED_VALUE"""),587.0)</f>
        <v>587</v>
      </c>
      <c r="C486" s="5" t="str">
        <f>IFERROR(__xludf.DUMMYFUNCTION("""COMPUTED_VALUE"""),"AMANO T")</f>
        <v>AMANO T</v>
      </c>
      <c r="D486" s="5">
        <f>IFERROR(__xludf.DUMMYFUNCTION("""COMPUTED_VALUE"""),9117832.0)</f>
        <v>9117832</v>
      </c>
      <c r="E486" s="5" t="str">
        <f>IFERROR(__xludf.DUMMYFUNCTION("""COMPUTED_VALUE"""),"Odesa")</f>
        <v>Odesa</v>
      </c>
      <c r="F486" s="5" t="str">
        <f>IFERROR(__xludf.DUMMYFUNCTION("""COMPUTED_VALUE"""),"Egypt")</f>
        <v>Egypt</v>
      </c>
      <c r="G486" s="5" t="str">
        <f>IFERROR(__xludf.DUMMYFUNCTION("""COMPUTED_VALUE"""),"Corn")</f>
        <v>Corn</v>
      </c>
      <c r="H486" s="6">
        <f>IFERROR(__xludf.DUMMYFUNCTION("""COMPUTED_VALUE"""),25000.0)</f>
        <v>25000</v>
      </c>
      <c r="I486" s="7">
        <f>IFERROR(__xludf.DUMMYFUNCTION("""COMPUTED_VALUE"""),44920.0)</f>
        <v>44920</v>
      </c>
      <c r="J486" s="7">
        <f>IFERROR(__xludf.DUMMYFUNCTION("""COMPUTED_VALUE"""),44941.0)</f>
        <v>44941</v>
      </c>
      <c r="K486" s="5" t="str">
        <f>IFERROR(__xludf.DUMMYFUNCTION("""COMPUTED_VALUE"""),"lower-middle income")</f>
        <v>lower-middle income</v>
      </c>
      <c r="L486" s="5" t="str">
        <f>IFERROR(__xludf.DUMMYFUNCTION("""COMPUTED_VALUE"""),"Belize")</f>
        <v>Belize</v>
      </c>
      <c r="M486" s="5" t="str">
        <f>IFERROR(__xludf.DUMMYFUNCTION("""COMPUTED_VALUE"""),"Middle East &amp; North Africa")</f>
        <v>Middle East &amp; North Africa</v>
      </c>
      <c r="N486" s="5" t="str">
        <f>IFERROR(__xludf.DUMMYFUNCTION("""COMPUTED_VALUE"""),"Africa")</f>
        <v>Africa</v>
      </c>
      <c r="O486" s="5" t="str">
        <f>IFERROR(__xludf.DUMMYFUNCTION("""COMPUTED_VALUE"""),"developing")</f>
        <v>developing</v>
      </c>
      <c r="P486" s="5"/>
      <c r="Q486" s="5"/>
    </row>
    <row r="487">
      <c r="A487" s="5" t="str">
        <f>IFERROR(__xludf.DUMMYFUNCTION("""COMPUTED_VALUE"""),"Outbound")</f>
        <v>Outbound</v>
      </c>
      <c r="B487" s="5">
        <f>IFERROR(__xludf.DUMMYFUNCTION("""COMPUTED_VALUE"""),586.0)</f>
        <v>586</v>
      </c>
      <c r="C487" s="5" t="str">
        <f>IFERROR(__xludf.DUMMYFUNCTION("""COMPUTED_VALUE"""),"VALERIO")</f>
        <v>VALERIO</v>
      </c>
      <c r="D487" s="5">
        <f>IFERROR(__xludf.DUMMYFUNCTION("""COMPUTED_VALUE"""),9244037.0)</f>
        <v>9244037</v>
      </c>
      <c r="E487" s="5" t="str">
        <f>IFERROR(__xludf.DUMMYFUNCTION("""COMPUTED_VALUE"""),"Odesa")</f>
        <v>Odesa</v>
      </c>
      <c r="F487" s="5" t="str">
        <f>IFERROR(__xludf.DUMMYFUNCTION("""COMPUTED_VALUE"""),"Spain")</f>
        <v>Spain</v>
      </c>
      <c r="G487" s="5" t="str">
        <f>IFERROR(__xludf.DUMMYFUNCTION("""COMPUTED_VALUE"""),"Wheat")</f>
        <v>Wheat</v>
      </c>
      <c r="H487" s="6">
        <f>IFERROR(__xludf.DUMMYFUNCTION("""COMPUTED_VALUE"""),26200.0)</f>
        <v>26200</v>
      </c>
      <c r="I487" s="7">
        <f>IFERROR(__xludf.DUMMYFUNCTION("""COMPUTED_VALUE"""),44919.0)</f>
        <v>44919</v>
      </c>
      <c r="J487" s="7">
        <f>IFERROR(__xludf.DUMMYFUNCTION("""COMPUTED_VALUE"""),44927.0)</f>
        <v>44927</v>
      </c>
      <c r="K487" s="5" t="str">
        <f>IFERROR(__xludf.DUMMYFUNCTION("""COMPUTED_VALUE"""),"high-income")</f>
        <v>high-income</v>
      </c>
      <c r="L487" s="5" t="str">
        <f>IFERROR(__xludf.DUMMYFUNCTION("""COMPUTED_VALUE"""),"Barbados")</f>
        <v>Barbados</v>
      </c>
      <c r="M487" s="5" t="str">
        <f>IFERROR(__xludf.DUMMYFUNCTION("""COMPUTED_VALUE"""),"Europe &amp; Central Asia")</f>
        <v>Europe &amp; Central Asia</v>
      </c>
      <c r="N487" s="5" t="str">
        <f>IFERROR(__xludf.DUMMYFUNCTION("""COMPUTED_VALUE"""),"Western Europe and Others")</f>
        <v>Western Europe and Others</v>
      </c>
      <c r="O487" s="5" t="str">
        <f>IFERROR(__xludf.DUMMYFUNCTION("""COMPUTED_VALUE"""),"developed")</f>
        <v>developed</v>
      </c>
      <c r="P487" s="5"/>
      <c r="Q487" s="5"/>
    </row>
    <row r="488">
      <c r="A488" s="5" t="str">
        <f>IFERROR(__xludf.DUMMYFUNCTION("""COMPUTED_VALUE"""),"Outbound")</f>
        <v>Outbound</v>
      </c>
      <c r="B488" s="5">
        <f>IFERROR(__xludf.DUMMYFUNCTION("""COMPUTED_VALUE"""),585.0)</f>
        <v>585</v>
      </c>
      <c r="C488" s="5" t="str">
        <f>IFERROR(__xludf.DUMMYFUNCTION("""COMPUTED_VALUE"""),"HAJE ZAINAB")</f>
        <v>HAJE ZAINAB</v>
      </c>
      <c r="D488" s="5">
        <f>IFERROR(__xludf.DUMMYFUNCTION("""COMPUTED_VALUE"""),8025381.0)</f>
        <v>8025381</v>
      </c>
      <c r="E488" s="5" t="str">
        <f>IFERROR(__xludf.DUMMYFUNCTION("""COMPUTED_VALUE"""),"Odesa")</f>
        <v>Odesa</v>
      </c>
      <c r="F488" s="5" t="str">
        <f>IFERROR(__xludf.DUMMYFUNCTION("""COMPUTED_VALUE"""),"Italy")</f>
        <v>Italy</v>
      </c>
      <c r="G488" s="5" t="str">
        <f>IFERROR(__xludf.DUMMYFUNCTION("""COMPUTED_VALUE"""),"Soya beans")</f>
        <v>Soya beans</v>
      </c>
      <c r="H488" s="6">
        <f>IFERROR(__xludf.DUMMYFUNCTION("""COMPUTED_VALUE"""),8100.0)</f>
        <v>8100</v>
      </c>
      <c r="I488" s="7">
        <f>IFERROR(__xludf.DUMMYFUNCTION("""COMPUTED_VALUE"""),44919.0)</f>
        <v>44919</v>
      </c>
      <c r="J488" s="7">
        <f>IFERROR(__xludf.DUMMYFUNCTION("""COMPUTED_VALUE"""),44929.0)</f>
        <v>44929</v>
      </c>
      <c r="K488" s="5" t="str">
        <f>IFERROR(__xludf.DUMMYFUNCTION("""COMPUTED_VALUE"""),"high-income")</f>
        <v>high-income</v>
      </c>
      <c r="L488" s="5" t="str">
        <f>IFERROR(__xludf.DUMMYFUNCTION("""COMPUTED_VALUE"""),"Togo")</f>
        <v>Togo</v>
      </c>
      <c r="M488" s="5" t="str">
        <f>IFERROR(__xludf.DUMMYFUNCTION("""COMPUTED_VALUE"""),"Europe &amp; Central Asia")</f>
        <v>Europe &amp; Central Asia</v>
      </c>
      <c r="N488" s="5" t="str">
        <f>IFERROR(__xludf.DUMMYFUNCTION("""COMPUTED_VALUE"""),"Western Europe and Others")</f>
        <v>Western Europe and Others</v>
      </c>
      <c r="O488" s="5" t="str">
        <f>IFERROR(__xludf.DUMMYFUNCTION("""COMPUTED_VALUE"""),"developed")</f>
        <v>developed</v>
      </c>
      <c r="P488" s="5"/>
      <c r="Q488" s="5"/>
    </row>
    <row r="489">
      <c r="A489" s="5" t="str">
        <f>IFERROR(__xludf.DUMMYFUNCTION("""COMPUTED_VALUE"""),"Outbound")</f>
        <v>Outbound</v>
      </c>
      <c r="B489" s="5">
        <f>IFERROR(__xludf.DUMMYFUNCTION("""COMPUTED_VALUE"""),584.0)</f>
        <v>584</v>
      </c>
      <c r="C489" s="5" t="str">
        <f>IFERROR(__xludf.DUMMYFUNCTION("""COMPUTED_VALUE"""),"ANTONIA S")</f>
        <v>ANTONIA S</v>
      </c>
      <c r="D489" s="5">
        <f>IFERROR(__xludf.DUMMYFUNCTION("""COMPUTED_VALUE"""),9591088.0)</f>
        <v>9591088</v>
      </c>
      <c r="E489" s="5" t="str">
        <f>IFERROR(__xludf.DUMMYFUNCTION("""COMPUTED_VALUE"""),"Odesa")</f>
        <v>Odesa</v>
      </c>
      <c r="F489" s="5" t="str">
        <f>IFERROR(__xludf.DUMMYFUNCTION("""COMPUTED_VALUE"""),"Spain")</f>
        <v>Spain</v>
      </c>
      <c r="G489" s="5" t="str">
        <f>IFERROR(__xludf.DUMMYFUNCTION("""COMPUTED_VALUE"""),"Corn")</f>
        <v>Corn</v>
      </c>
      <c r="H489" s="6">
        <f>IFERROR(__xludf.DUMMYFUNCTION("""COMPUTED_VALUE"""),66500.0)</f>
        <v>66500</v>
      </c>
      <c r="I489" s="7">
        <f>IFERROR(__xludf.DUMMYFUNCTION("""COMPUTED_VALUE"""),44919.0)</f>
        <v>44919</v>
      </c>
      <c r="J489" s="7">
        <f>IFERROR(__xludf.DUMMYFUNCTION("""COMPUTED_VALUE"""),44925.0)</f>
        <v>44925</v>
      </c>
      <c r="K489" s="5" t="str">
        <f>IFERROR(__xludf.DUMMYFUNCTION("""COMPUTED_VALUE"""),"high-income")</f>
        <v>high-income</v>
      </c>
      <c r="L489" s="5" t="str">
        <f>IFERROR(__xludf.DUMMYFUNCTION("""COMPUTED_VALUE"""),"Liberia")</f>
        <v>Liberia</v>
      </c>
      <c r="M489" s="5" t="str">
        <f>IFERROR(__xludf.DUMMYFUNCTION("""COMPUTED_VALUE"""),"Europe &amp; Central Asia")</f>
        <v>Europe &amp; Central Asia</v>
      </c>
      <c r="N489" s="5" t="str">
        <f>IFERROR(__xludf.DUMMYFUNCTION("""COMPUTED_VALUE"""),"Western Europe and Others")</f>
        <v>Western Europe and Others</v>
      </c>
      <c r="O489" s="5" t="str">
        <f>IFERROR(__xludf.DUMMYFUNCTION("""COMPUTED_VALUE"""),"developed")</f>
        <v>developed</v>
      </c>
      <c r="P489" s="5"/>
      <c r="Q489" s="5"/>
    </row>
    <row r="490">
      <c r="A490" s="5" t="str">
        <f>IFERROR(__xludf.DUMMYFUNCTION("""COMPUTED_VALUE"""),"Outbound")</f>
        <v>Outbound</v>
      </c>
      <c r="B490" s="5">
        <f>IFERROR(__xludf.DUMMYFUNCTION("""COMPUTED_VALUE"""),583.0)</f>
        <v>583</v>
      </c>
      <c r="C490" s="5" t="str">
        <f>IFERROR(__xludf.DUMMYFUNCTION("""COMPUTED_VALUE"""),"ZOI XL")</f>
        <v>ZOI XL</v>
      </c>
      <c r="D490" s="5">
        <f>IFERROR(__xludf.DUMMYFUNCTION("""COMPUTED_VALUE"""),9326275.0)</f>
        <v>9326275</v>
      </c>
      <c r="E490" s="5" t="str">
        <f>IFERROR(__xludf.DUMMYFUNCTION("""COMPUTED_VALUE"""),"Yuzhny/Pivdennyi")</f>
        <v>Yuzhny/Pivdennyi</v>
      </c>
      <c r="F490" s="5" t="str">
        <f>IFERROR(__xludf.DUMMYFUNCTION("""COMPUTED_VALUE"""),"Spain")</f>
        <v>Spain</v>
      </c>
      <c r="G490" s="5" t="str">
        <f>IFERROR(__xludf.DUMMYFUNCTION("""COMPUTED_VALUE"""),"Wheat")</f>
        <v>Wheat</v>
      </c>
      <c r="H490" s="6">
        <f>IFERROR(__xludf.DUMMYFUNCTION("""COMPUTED_VALUE"""),71500.0)</f>
        <v>71500</v>
      </c>
      <c r="I490" s="7">
        <f>IFERROR(__xludf.DUMMYFUNCTION("""COMPUTED_VALUE"""),44918.0)</f>
        <v>44918</v>
      </c>
      <c r="J490" s="7">
        <f>IFERROR(__xludf.DUMMYFUNCTION("""COMPUTED_VALUE"""),44940.0)</f>
        <v>44940</v>
      </c>
      <c r="K490" s="5" t="str">
        <f>IFERROR(__xludf.DUMMYFUNCTION("""COMPUTED_VALUE"""),"high-income")</f>
        <v>high-income</v>
      </c>
      <c r="L490" s="5" t="str">
        <f>IFERROR(__xludf.DUMMYFUNCTION("""COMPUTED_VALUE"""),"Marshall Islands")</f>
        <v>Marshall Islands</v>
      </c>
      <c r="M490" s="5" t="str">
        <f>IFERROR(__xludf.DUMMYFUNCTION("""COMPUTED_VALUE"""),"Europe &amp; Central Asia")</f>
        <v>Europe &amp; Central Asia</v>
      </c>
      <c r="N490" s="5" t="str">
        <f>IFERROR(__xludf.DUMMYFUNCTION("""COMPUTED_VALUE"""),"Western Europe and Others")</f>
        <v>Western Europe and Others</v>
      </c>
      <c r="O490" s="5" t="str">
        <f>IFERROR(__xludf.DUMMYFUNCTION("""COMPUTED_VALUE"""),"developed")</f>
        <v>developed</v>
      </c>
      <c r="P490" s="5"/>
      <c r="Q490" s="5"/>
    </row>
    <row r="491">
      <c r="A491" s="5" t="str">
        <f>IFERROR(__xludf.DUMMYFUNCTION("""COMPUTED_VALUE"""),"Outbound")</f>
        <v>Outbound</v>
      </c>
      <c r="B491" s="5">
        <f>IFERROR(__xludf.DUMMYFUNCTION("""COMPUTED_VALUE"""),582.0)</f>
        <v>582</v>
      </c>
      <c r="C491" s="5" t="str">
        <f>IFERROR(__xludf.DUMMYFUNCTION("""COMPUTED_VALUE"""),"EVOIKOS THEO")</f>
        <v>EVOIKOS THEO</v>
      </c>
      <c r="D491" s="5">
        <f>IFERROR(__xludf.DUMMYFUNCTION("""COMPUTED_VALUE"""),9204685.0)</f>
        <v>9204685</v>
      </c>
      <c r="E491" s="5" t="str">
        <f>IFERROR(__xludf.DUMMYFUNCTION("""COMPUTED_VALUE"""),"Chornomorsk")</f>
        <v>Chornomorsk</v>
      </c>
      <c r="F491" s="5" t="str">
        <f>IFERROR(__xludf.DUMMYFUNCTION("""COMPUTED_VALUE"""),"Spain")</f>
        <v>Spain</v>
      </c>
      <c r="G491" s="5" t="str">
        <f>IFERROR(__xludf.DUMMYFUNCTION("""COMPUTED_VALUE"""),"Corn")</f>
        <v>Corn</v>
      </c>
      <c r="H491" s="6">
        <f>IFERROR(__xludf.DUMMYFUNCTION("""COMPUTED_VALUE"""),26500.0)</f>
        <v>26500</v>
      </c>
      <c r="I491" s="7">
        <f>IFERROR(__xludf.DUMMYFUNCTION("""COMPUTED_VALUE"""),44918.0)</f>
        <v>44918</v>
      </c>
      <c r="J491" s="7">
        <f>IFERROR(__xludf.DUMMYFUNCTION("""COMPUTED_VALUE"""),44925.0)</f>
        <v>44925</v>
      </c>
      <c r="K491" s="5" t="str">
        <f>IFERROR(__xludf.DUMMYFUNCTION("""COMPUTED_VALUE"""),"high-income")</f>
        <v>high-income</v>
      </c>
      <c r="L491" s="5" t="str">
        <f>IFERROR(__xludf.DUMMYFUNCTION("""COMPUTED_VALUE"""),"Marshall Islands")</f>
        <v>Marshall Islands</v>
      </c>
      <c r="M491" s="5" t="str">
        <f>IFERROR(__xludf.DUMMYFUNCTION("""COMPUTED_VALUE"""),"Europe &amp; Central Asia")</f>
        <v>Europe &amp; Central Asia</v>
      </c>
      <c r="N491" s="5" t="str">
        <f>IFERROR(__xludf.DUMMYFUNCTION("""COMPUTED_VALUE"""),"Western Europe and Others")</f>
        <v>Western Europe and Others</v>
      </c>
      <c r="O491" s="5" t="str">
        <f>IFERROR(__xludf.DUMMYFUNCTION("""COMPUTED_VALUE"""),"developed")</f>
        <v>developed</v>
      </c>
      <c r="P491" s="5"/>
      <c r="Q491" s="5"/>
    </row>
    <row r="492">
      <c r="A492" s="5" t="str">
        <f>IFERROR(__xludf.DUMMYFUNCTION("""COMPUTED_VALUE"""),"Outbound +")</f>
        <v>Outbound +</v>
      </c>
      <c r="B492" s="5">
        <f>IFERROR(__xludf.DUMMYFUNCTION("""COMPUTED_VALUE"""),582.0)</f>
        <v>582</v>
      </c>
      <c r="C492" s="5" t="str">
        <f>IFERROR(__xludf.DUMMYFUNCTION("""COMPUTED_VALUE"""),"EVOIKOS THEO")</f>
        <v>EVOIKOS THEO</v>
      </c>
      <c r="D492" s="5">
        <f>IFERROR(__xludf.DUMMYFUNCTION("""COMPUTED_VALUE"""),9204685.0)</f>
        <v>9204685</v>
      </c>
      <c r="E492" s="5" t="str">
        <f>IFERROR(__xludf.DUMMYFUNCTION("""COMPUTED_VALUE"""),"Chornomorsk")</f>
        <v>Chornomorsk</v>
      </c>
      <c r="F492" s="5" t="str">
        <f>IFERROR(__xludf.DUMMYFUNCTION("""COMPUTED_VALUE"""),"Spain")</f>
        <v>Spain</v>
      </c>
      <c r="G492" s="5" t="str">
        <f>IFERROR(__xludf.DUMMYFUNCTION("""COMPUTED_VALUE"""),"Wheat")</f>
        <v>Wheat</v>
      </c>
      <c r="H492" s="6">
        <f>IFERROR(__xludf.DUMMYFUNCTION("""COMPUTED_VALUE"""),38700.0)</f>
        <v>38700</v>
      </c>
      <c r="I492" s="7">
        <f>IFERROR(__xludf.DUMMYFUNCTION("""COMPUTED_VALUE"""),44918.0)</f>
        <v>44918</v>
      </c>
      <c r="J492" s="7">
        <f>IFERROR(__xludf.DUMMYFUNCTION("""COMPUTED_VALUE"""),44925.0)</f>
        <v>44925</v>
      </c>
      <c r="K492" s="5" t="str">
        <f>IFERROR(__xludf.DUMMYFUNCTION("""COMPUTED_VALUE"""),"high-income")</f>
        <v>high-income</v>
      </c>
      <c r="L492" s="5" t="str">
        <f>IFERROR(__xludf.DUMMYFUNCTION("""COMPUTED_VALUE"""),"Marshall Islands")</f>
        <v>Marshall Islands</v>
      </c>
      <c r="M492" s="5" t="str">
        <f>IFERROR(__xludf.DUMMYFUNCTION("""COMPUTED_VALUE"""),"Europe &amp; Central Asia")</f>
        <v>Europe &amp; Central Asia</v>
      </c>
      <c r="N492" s="5" t="str">
        <f>IFERROR(__xludf.DUMMYFUNCTION("""COMPUTED_VALUE"""),"Western Europe and Others")</f>
        <v>Western Europe and Others</v>
      </c>
      <c r="O492" s="5" t="str">
        <f>IFERROR(__xludf.DUMMYFUNCTION("""COMPUTED_VALUE"""),"developed")</f>
        <v>developed</v>
      </c>
      <c r="P492" s="5"/>
      <c r="Q492" s="5"/>
    </row>
    <row r="493">
      <c r="A493" s="5" t="str">
        <f>IFERROR(__xludf.DUMMYFUNCTION("""COMPUTED_VALUE"""),"Outbound")</f>
        <v>Outbound</v>
      </c>
      <c r="B493" s="5">
        <f>IFERROR(__xludf.DUMMYFUNCTION("""COMPUTED_VALUE"""),581.0)</f>
        <v>581</v>
      </c>
      <c r="C493" s="5" t="str">
        <f>IFERROR(__xludf.DUMMYFUNCTION("""COMPUTED_VALUE"""),"BRAVE M")</f>
        <v>BRAVE M</v>
      </c>
      <c r="D493" s="5">
        <f>IFERROR(__xludf.DUMMYFUNCTION("""COMPUTED_VALUE"""),9153496.0)</f>
        <v>9153496</v>
      </c>
      <c r="E493" s="5" t="str">
        <f>IFERROR(__xludf.DUMMYFUNCTION("""COMPUTED_VALUE"""),"Odesa")</f>
        <v>Odesa</v>
      </c>
      <c r="F493" s="5" t="str">
        <f>IFERROR(__xludf.DUMMYFUNCTION("""COMPUTED_VALUE"""),"Libya")</f>
        <v>Libya</v>
      </c>
      <c r="G493" s="5" t="str">
        <f>IFERROR(__xludf.DUMMYFUNCTION("""COMPUTED_VALUE"""),"Corn")</f>
        <v>Corn</v>
      </c>
      <c r="H493" s="6">
        <f>IFERROR(__xludf.DUMMYFUNCTION("""COMPUTED_VALUE"""),17700.0)</f>
        <v>17700</v>
      </c>
      <c r="I493" s="7">
        <f>IFERROR(__xludf.DUMMYFUNCTION("""COMPUTED_VALUE"""),44918.0)</f>
        <v>44918</v>
      </c>
      <c r="J493" s="7">
        <f>IFERROR(__xludf.DUMMYFUNCTION("""COMPUTED_VALUE"""),44929.0)</f>
        <v>44929</v>
      </c>
      <c r="K493" s="5" t="str">
        <f>IFERROR(__xludf.DUMMYFUNCTION("""COMPUTED_VALUE"""),"upper-middle-income")</f>
        <v>upper-middle-income</v>
      </c>
      <c r="L493" s="5" t="str">
        <f>IFERROR(__xludf.DUMMYFUNCTION("""COMPUTED_VALUE"""),"Belize")</f>
        <v>Belize</v>
      </c>
      <c r="M493" s="5" t="str">
        <f>IFERROR(__xludf.DUMMYFUNCTION("""COMPUTED_VALUE"""),"Middle East &amp; North Africa")</f>
        <v>Middle East &amp; North Africa</v>
      </c>
      <c r="N493" s="5" t="str">
        <f>IFERROR(__xludf.DUMMYFUNCTION("""COMPUTED_VALUE"""),"Africa")</f>
        <v>Africa</v>
      </c>
      <c r="O493" s="5" t="str">
        <f>IFERROR(__xludf.DUMMYFUNCTION("""COMPUTED_VALUE"""),"developing")</f>
        <v>developing</v>
      </c>
      <c r="P493" s="5"/>
      <c r="Q493" s="5"/>
    </row>
    <row r="494">
      <c r="A494" s="5" t="str">
        <f>IFERROR(__xludf.DUMMYFUNCTION("""COMPUTED_VALUE"""),"Outbound +")</f>
        <v>Outbound +</v>
      </c>
      <c r="B494" s="5">
        <f>IFERROR(__xludf.DUMMYFUNCTION("""COMPUTED_VALUE"""),581.0)</f>
        <v>581</v>
      </c>
      <c r="C494" s="5" t="str">
        <f>IFERROR(__xludf.DUMMYFUNCTION("""COMPUTED_VALUE"""),"BRAVE M")</f>
        <v>BRAVE M</v>
      </c>
      <c r="D494" s="5">
        <f>IFERROR(__xludf.DUMMYFUNCTION("""COMPUTED_VALUE"""),9153496.0)</f>
        <v>9153496</v>
      </c>
      <c r="E494" s="5" t="str">
        <f>IFERROR(__xludf.DUMMYFUNCTION("""COMPUTED_VALUE"""),"Odesa")</f>
        <v>Odesa</v>
      </c>
      <c r="F494" s="5" t="str">
        <f>IFERROR(__xludf.DUMMYFUNCTION("""COMPUTED_VALUE"""),"Libya")</f>
        <v>Libya</v>
      </c>
      <c r="G494" s="5" t="str">
        <f>IFERROR(__xludf.DUMMYFUNCTION("""COMPUTED_VALUE"""),"Barley")</f>
        <v>Barley</v>
      </c>
      <c r="H494" s="6">
        <f>IFERROR(__xludf.DUMMYFUNCTION("""COMPUTED_VALUE"""),9800.0)</f>
        <v>9800</v>
      </c>
      <c r="I494" s="7">
        <f>IFERROR(__xludf.DUMMYFUNCTION("""COMPUTED_VALUE"""),44918.0)</f>
        <v>44918</v>
      </c>
      <c r="J494" s="7">
        <f>IFERROR(__xludf.DUMMYFUNCTION("""COMPUTED_VALUE"""),44929.0)</f>
        <v>44929</v>
      </c>
      <c r="K494" s="5" t="str">
        <f>IFERROR(__xludf.DUMMYFUNCTION("""COMPUTED_VALUE"""),"upper-middle-income")</f>
        <v>upper-middle-income</v>
      </c>
      <c r="L494" s="5" t="str">
        <f>IFERROR(__xludf.DUMMYFUNCTION("""COMPUTED_VALUE"""),"Belize")</f>
        <v>Belize</v>
      </c>
      <c r="M494" s="5" t="str">
        <f>IFERROR(__xludf.DUMMYFUNCTION("""COMPUTED_VALUE"""),"Middle East &amp; North Africa")</f>
        <v>Middle East &amp; North Africa</v>
      </c>
      <c r="N494" s="5" t="str">
        <f>IFERROR(__xludf.DUMMYFUNCTION("""COMPUTED_VALUE"""),"Africa")</f>
        <v>Africa</v>
      </c>
      <c r="O494" s="5" t="str">
        <f>IFERROR(__xludf.DUMMYFUNCTION("""COMPUTED_VALUE"""),"developing")</f>
        <v>developing</v>
      </c>
      <c r="P494" s="5"/>
      <c r="Q494" s="5"/>
    </row>
    <row r="495">
      <c r="A495" s="5" t="str">
        <f>IFERROR(__xludf.DUMMYFUNCTION("""COMPUTED_VALUE"""),"Outbound")</f>
        <v>Outbound</v>
      </c>
      <c r="B495" s="5">
        <f>IFERROR(__xludf.DUMMYFUNCTION("""COMPUTED_VALUE"""),580.0)</f>
        <v>580</v>
      </c>
      <c r="C495" s="5" t="str">
        <f>IFERROR(__xludf.DUMMYFUNCTION("""COMPUTED_VALUE"""),"A LINE")</f>
        <v>A LINE</v>
      </c>
      <c r="D495" s="5">
        <f>IFERROR(__xludf.DUMMYFUNCTION("""COMPUTED_VALUE"""),9246920.0)</f>
        <v>9246920</v>
      </c>
      <c r="E495" s="5" t="str">
        <f>IFERROR(__xludf.DUMMYFUNCTION("""COMPUTED_VALUE"""),"Odesa")</f>
        <v>Odesa</v>
      </c>
      <c r="F495" s="5" t="str">
        <f>IFERROR(__xludf.DUMMYFUNCTION("""COMPUTED_VALUE"""),"Israel")</f>
        <v>Israel</v>
      </c>
      <c r="G495" s="5" t="str">
        <f>IFERROR(__xludf.DUMMYFUNCTION("""COMPUTED_VALUE"""),"Wheat")</f>
        <v>Wheat</v>
      </c>
      <c r="H495" s="6">
        <f>IFERROR(__xludf.DUMMYFUNCTION("""COMPUTED_VALUE"""),11500.0)</f>
        <v>11500</v>
      </c>
      <c r="I495" s="7">
        <f>IFERROR(__xludf.DUMMYFUNCTION("""COMPUTED_VALUE"""),44918.0)</f>
        <v>44918</v>
      </c>
      <c r="J495" s="7">
        <f>IFERROR(__xludf.DUMMYFUNCTION("""COMPUTED_VALUE"""),44930.0)</f>
        <v>44930</v>
      </c>
      <c r="K495" s="5" t="str">
        <f>IFERROR(__xludf.DUMMYFUNCTION("""COMPUTED_VALUE"""),"high-income")</f>
        <v>high-income</v>
      </c>
      <c r="L495" s="5" t="str">
        <f>IFERROR(__xludf.DUMMYFUNCTION("""COMPUTED_VALUE"""),"Vanuatu")</f>
        <v>Vanuatu</v>
      </c>
      <c r="M495" s="5" t="str">
        <f>IFERROR(__xludf.DUMMYFUNCTION("""COMPUTED_VALUE"""),"Middle East &amp; North Africa")</f>
        <v>Middle East &amp; North Africa</v>
      </c>
      <c r="N495" s="5" t="str">
        <f>IFERROR(__xludf.DUMMYFUNCTION("""COMPUTED_VALUE"""),"Western Europe and Others")</f>
        <v>Western Europe and Others</v>
      </c>
      <c r="O495" s="5" t="str">
        <f>IFERROR(__xludf.DUMMYFUNCTION("""COMPUTED_VALUE"""),"developed")</f>
        <v>developed</v>
      </c>
      <c r="P495" s="5"/>
      <c r="Q495" s="5"/>
    </row>
    <row r="496">
      <c r="A496" s="5" t="str">
        <f>IFERROR(__xludf.DUMMYFUNCTION("""COMPUTED_VALUE"""),"Outbound")</f>
        <v>Outbound</v>
      </c>
      <c r="B496" s="5">
        <f>IFERROR(__xludf.DUMMYFUNCTION("""COMPUTED_VALUE"""),579.0)</f>
        <v>579</v>
      </c>
      <c r="C496" s="5" t="str">
        <f>IFERROR(__xludf.DUMMYFUNCTION("""COMPUTED_VALUE"""),"TUO FU 8")</f>
        <v>TUO FU 8</v>
      </c>
      <c r="D496" s="5">
        <f>IFERROR(__xludf.DUMMYFUNCTION("""COMPUTED_VALUE"""),9649249.0)</f>
        <v>9649249</v>
      </c>
      <c r="E496" s="5" t="str">
        <f>IFERROR(__xludf.DUMMYFUNCTION("""COMPUTED_VALUE"""),"Chornomorsk")</f>
        <v>Chornomorsk</v>
      </c>
      <c r="F496" s="5" t="str">
        <f>IFERROR(__xludf.DUMMYFUNCTION("""COMPUTED_VALUE"""),"China")</f>
        <v>China</v>
      </c>
      <c r="G496" s="5" t="str">
        <f>IFERROR(__xludf.DUMMYFUNCTION("""COMPUTED_VALUE"""),"Sunflower meal")</f>
        <v>Sunflower meal</v>
      </c>
      <c r="H496" s="6">
        <f>IFERROR(__xludf.DUMMYFUNCTION("""COMPUTED_VALUE"""),62979.0)</f>
        <v>62979</v>
      </c>
      <c r="I496" s="7">
        <f>IFERROR(__xludf.DUMMYFUNCTION("""COMPUTED_VALUE"""),44917.0)</f>
        <v>44917</v>
      </c>
      <c r="J496" s="7">
        <f>IFERROR(__xludf.DUMMYFUNCTION("""COMPUTED_VALUE"""),44927.0)</f>
        <v>44927</v>
      </c>
      <c r="K496" s="5" t="str">
        <f>IFERROR(__xludf.DUMMYFUNCTION("""COMPUTED_VALUE"""),"upper-middle-income")</f>
        <v>upper-middle-income</v>
      </c>
      <c r="L496" s="5" t="str">
        <f>IFERROR(__xludf.DUMMYFUNCTION("""COMPUTED_VALUE"""),"Hong Kong")</f>
        <v>Hong Kong</v>
      </c>
      <c r="M496" s="5" t="str">
        <f>IFERROR(__xludf.DUMMYFUNCTION("""COMPUTED_VALUE"""),"East Asia &amp; Pacific")</f>
        <v>East Asia &amp; Pacific</v>
      </c>
      <c r="N496" s="5" t="str">
        <f>IFERROR(__xludf.DUMMYFUNCTION("""COMPUTED_VALUE"""),"Asia-Pacific")</f>
        <v>Asia-Pacific</v>
      </c>
      <c r="O496" s="5" t="str">
        <f>IFERROR(__xludf.DUMMYFUNCTION("""COMPUTED_VALUE"""),"developing")</f>
        <v>developing</v>
      </c>
      <c r="P496" s="5"/>
      <c r="Q496" s="5"/>
    </row>
    <row r="497">
      <c r="A497" s="5" t="str">
        <f>IFERROR(__xludf.DUMMYFUNCTION("""COMPUTED_VALUE"""),"Outbound")</f>
        <v>Outbound</v>
      </c>
      <c r="B497" s="5">
        <f>IFERROR(__xludf.DUMMYFUNCTION("""COMPUTED_VALUE"""),578.0)</f>
        <v>578</v>
      </c>
      <c r="C497" s="5" t="str">
        <f>IFERROR(__xludf.DUMMYFUNCTION("""COMPUTED_VALUE"""),"OMICRON ATLAS")</f>
        <v>OMICRON ATLAS</v>
      </c>
      <c r="D497" s="5">
        <f>IFERROR(__xludf.DUMMYFUNCTION("""COMPUTED_VALUE"""),9464510.0)</f>
        <v>9464510</v>
      </c>
      <c r="E497" s="5" t="str">
        <f>IFERROR(__xludf.DUMMYFUNCTION("""COMPUTED_VALUE"""),"Chornomorsk")</f>
        <v>Chornomorsk</v>
      </c>
      <c r="F497" s="5" t="str">
        <f>IFERROR(__xludf.DUMMYFUNCTION("""COMPUTED_VALUE"""),"China")</f>
        <v>China</v>
      </c>
      <c r="G497" s="5" t="str">
        <f>IFERROR(__xludf.DUMMYFUNCTION("""COMPUTED_VALUE"""),"Corn")</f>
        <v>Corn</v>
      </c>
      <c r="H497" s="6">
        <f>IFERROR(__xludf.DUMMYFUNCTION("""COMPUTED_VALUE"""),65520.0)</f>
        <v>65520</v>
      </c>
      <c r="I497" s="7">
        <f>IFERROR(__xludf.DUMMYFUNCTION("""COMPUTED_VALUE"""),44917.0)</f>
        <v>44917</v>
      </c>
      <c r="J497" s="7">
        <f>IFERROR(__xludf.DUMMYFUNCTION("""COMPUTED_VALUE"""),44922.0)</f>
        <v>44922</v>
      </c>
      <c r="K497" s="5" t="str">
        <f>IFERROR(__xludf.DUMMYFUNCTION("""COMPUTED_VALUE"""),"upper-middle-income")</f>
        <v>upper-middle-income</v>
      </c>
      <c r="L497" s="5" t="str">
        <f>IFERROR(__xludf.DUMMYFUNCTION("""COMPUTED_VALUE"""),"Liberia")</f>
        <v>Liberia</v>
      </c>
      <c r="M497" s="5" t="str">
        <f>IFERROR(__xludf.DUMMYFUNCTION("""COMPUTED_VALUE"""),"East Asia &amp; Pacific")</f>
        <v>East Asia &amp; Pacific</v>
      </c>
      <c r="N497" s="5" t="str">
        <f>IFERROR(__xludf.DUMMYFUNCTION("""COMPUTED_VALUE"""),"Asia-Pacific")</f>
        <v>Asia-Pacific</v>
      </c>
      <c r="O497" s="5" t="str">
        <f>IFERROR(__xludf.DUMMYFUNCTION("""COMPUTED_VALUE"""),"developing")</f>
        <v>developing</v>
      </c>
      <c r="P497" s="5"/>
      <c r="Q497" s="5"/>
    </row>
    <row r="498">
      <c r="A498" s="5" t="str">
        <f>IFERROR(__xludf.DUMMYFUNCTION("""COMPUTED_VALUE"""),"Outbound")</f>
        <v>Outbound</v>
      </c>
      <c r="B498" s="5">
        <f>IFERROR(__xludf.DUMMYFUNCTION("""COMPUTED_VALUE"""),577.0)</f>
        <v>577</v>
      </c>
      <c r="C498" s="5" t="str">
        <f>IFERROR(__xludf.DUMMYFUNCTION("""COMPUTED_VALUE"""),"LUCENT")</f>
        <v>LUCENT</v>
      </c>
      <c r="D498" s="5">
        <f>IFERROR(__xludf.DUMMYFUNCTION("""COMPUTED_VALUE"""),9142215.0)</f>
        <v>9142215</v>
      </c>
      <c r="E498" s="5" t="str">
        <f>IFERROR(__xludf.DUMMYFUNCTION("""COMPUTED_VALUE"""),"Yuzhny/Pivdennyi")</f>
        <v>Yuzhny/Pivdennyi</v>
      </c>
      <c r="F498" s="5" t="str">
        <f>IFERROR(__xludf.DUMMYFUNCTION("""COMPUTED_VALUE"""),"Türkiye")</f>
        <v>Türkiye</v>
      </c>
      <c r="G498" s="5" t="str">
        <f>IFERROR(__xludf.DUMMYFUNCTION("""COMPUTED_VALUE"""),"Wheat")</f>
        <v>Wheat</v>
      </c>
      <c r="H498" s="6">
        <f>IFERROR(__xludf.DUMMYFUNCTION("""COMPUTED_VALUE"""),45000.0)</f>
        <v>45000</v>
      </c>
      <c r="I498" s="7">
        <f>IFERROR(__xludf.DUMMYFUNCTION("""COMPUTED_VALUE"""),44917.0)</f>
        <v>44917</v>
      </c>
      <c r="J498" s="7">
        <f>IFERROR(__xludf.DUMMYFUNCTION("""COMPUTED_VALUE"""),44928.0)</f>
        <v>44928</v>
      </c>
      <c r="K498" s="5" t="str">
        <f>IFERROR(__xludf.DUMMYFUNCTION("""COMPUTED_VALUE"""),"upper-middle-income")</f>
        <v>upper-middle-income</v>
      </c>
      <c r="L498" s="5" t="str">
        <f>IFERROR(__xludf.DUMMYFUNCTION("""COMPUTED_VALUE"""),"Panama")</f>
        <v>Panama</v>
      </c>
      <c r="M498" s="5" t="str">
        <f>IFERROR(__xludf.DUMMYFUNCTION("""COMPUTED_VALUE"""),"Europe &amp; Central Asia")</f>
        <v>Europe &amp; Central Asia</v>
      </c>
      <c r="N498" s="5" t="str">
        <f>IFERROR(__xludf.DUMMYFUNCTION("""COMPUTED_VALUE"""),"Asia-Pacific")</f>
        <v>Asia-Pacific</v>
      </c>
      <c r="O498" s="5" t="str">
        <f>IFERROR(__xludf.DUMMYFUNCTION("""COMPUTED_VALUE"""),"developing")</f>
        <v>developing</v>
      </c>
      <c r="P498" s="5"/>
      <c r="Q498" s="5"/>
    </row>
    <row r="499">
      <c r="A499" s="5" t="str">
        <f>IFERROR(__xludf.DUMMYFUNCTION("""COMPUTED_VALUE"""),"Outbound")</f>
        <v>Outbound</v>
      </c>
      <c r="B499" s="5">
        <f>IFERROR(__xludf.DUMMYFUNCTION("""COMPUTED_VALUE"""),576.0)</f>
        <v>576</v>
      </c>
      <c r="C499" s="5" t="str">
        <f>IFERROR(__xludf.DUMMYFUNCTION("""COMPUTED_VALUE"""),"ENEIDA")</f>
        <v>ENEIDA</v>
      </c>
      <c r="D499" s="5">
        <f>IFERROR(__xludf.DUMMYFUNCTION("""COMPUTED_VALUE"""),9198381.0)</f>
        <v>9198381</v>
      </c>
      <c r="E499" s="5" t="str">
        <f>IFERROR(__xludf.DUMMYFUNCTION("""COMPUTED_VALUE"""),"Chornomorsk")</f>
        <v>Chornomorsk</v>
      </c>
      <c r="F499" s="5" t="str">
        <f>IFERROR(__xludf.DUMMYFUNCTION("""COMPUTED_VALUE"""),"Türkiye")</f>
        <v>Türkiye</v>
      </c>
      <c r="G499" s="5" t="str">
        <f>IFERROR(__xludf.DUMMYFUNCTION("""COMPUTED_VALUE"""),"Wheat")</f>
        <v>Wheat</v>
      </c>
      <c r="H499" s="6">
        <f>IFERROR(__xludf.DUMMYFUNCTION("""COMPUTED_VALUE"""),44848.0)</f>
        <v>44848</v>
      </c>
      <c r="I499" s="7">
        <f>IFERROR(__xludf.DUMMYFUNCTION("""COMPUTED_VALUE"""),44917.0)</f>
        <v>44917</v>
      </c>
      <c r="J499" s="7">
        <f>IFERROR(__xludf.DUMMYFUNCTION("""COMPUTED_VALUE"""),44923.0)</f>
        <v>44923</v>
      </c>
      <c r="K499" s="5" t="str">
        <f>IFERROR(__xludf.DUMMYFUNCTION("""COMPUTED_VALUE"""),"upper-middle-income")</f>
        <v>upper-middle-income</v>
      </c>
      <c r="L499" s="5" t="str">
        <f>IFERROR(__xludf.DUMMYFUNCTION("""COMPUTED_VALUE"""),"Liberia")</f>
        <v>Liberia</v>
      </c>
      <c r="M499" s="5" t="str">
        <f>IFERROR(__xludf.DUMMYFUNCTION("""COMPUTED_VALUE"""),"Europe &amp; Central Asia")</f>
        <v>Europe &amp; Central Asia</v>
      </c>
      <c r="N499" s="5" t="str">
        <f>IFERROR(__xludf.DUMMYFUNCTION("""COMPUTED_VALUE"""),"Asia-Pacific")</f>
        <v>Asia-Pacific</v>
      </c>
      <c r="O499" s="5" t="str">
        <f>IFERROR(__xludf.DUMMYFUNCTION("""COMPUTED_VALUE"""),"developing")</f>
        <v>developing</v>
      </c>
      <c r="P499" s="5"/>
      <c r="Q499" s="5"/>
    </row>
    <row r="500">
      <c r="A500" s="5" t="str">
        <f>IFERROR(__xludf.DUMMYFUNCTION("""COMPUTED_VALUE"""),"Outbound")</f>
        <v>Outbound</v>
      </c>
      <c r="B500" s="5">
        <f>IFERROR(__xludf.DUMMYFUNCTION("""COMPUTED_VALUE"""),575.0)</f>
        <v>575</v>
      </c>
      <c r="C500" s="5" t="str">
        <f>IFERROR(__xludf.DUMMYFUNCTION("""COMPUTED_VALUE"""),"BLUE ONE")</f>
        <v>BLUE ONE</v>
      </c>
      <c r="D500" s="5">
        <f>IFERROR(__xludf.DUMMYFUNCTION("""COMPUTED_VALUE"""),9585651.0)</f>
        <v>9585651</v>
      </c>
      <c r="E500" s="5" t="str">
        <f>IFERROR(__xludf.DUMMYFUNCTION("""COMPUTED_VALUE"""),"Yuzhny/Pivdennyi")</f>
        <v>Yuzhny/Pivdennyi</v>
      </c>
      <c r="F500" s="5" t="str">
        <f>IFERROR(__xludf.DUMMYFUNCTION("""COMPUTED_VALUE"""),"Spain")</f>
        <v>Spain</v>
      </c>
      <c r="G500" s="5" t="str">
        <f>IFERROR(__xludf.DUMMYFUNCTION("""COMPUTED_VALUE"""),"Wheat")</f>
        <v>Wheat</v>
      </c>
      <c r="H500" s="6">
        <f>IFERROR(__xludf.DUMMYFUNCTION("""COMPUTED_VALUE"""),30000.0)</f>
        <v>30000</v>
      </c>
      <c r="I500" s="7">
        <f>IFERROR(__xludf.DUMMYFUNCTION("""COMPUTED_VALUE"""),44917.0)</f>
        <v>44917</v>
      </c>
      <c r="J500" s="7">
        <f>IFERROR(__xludf.DUMMYFUNCTION("""COMPUTED_VALUE"""),44923.0)</f>
        <v>44923</v>
      </c>
      <c r="K500" s="5" t="str">
        <f>IFERROR(__xludf.DUMMYFUNCTION("""COMPUTED_VALUE"""),"high-income")</f>
        <v>high-income</v>
      </c>
      <c r="L500" s="5" t="str">
        <f>IFERROR(__xludf.DUMMYFUNCTION("""COMPUTED_VALUE"""),"Liberia")</f>
        <v>Liberia</v>
      </c>
      <c r="M500" s="5" t="str">
        <f>IFERROR(__xludf.DUMMYFUNCTION("""COMPUTED_VALUE"""),"Europe &amp; Central Asia")</f>
        <v>Europe &amp; Central Asia</v>
      </c>
      <c r="N500" s="5" t="str">
        <f>IFERROR(__xludf.DUMMYFUNCTION("""COMPUTED_VALUE"""),"Western Europe and Others")</f>
        <v>Western Europe and Others</v>
      </c>
      <c r="O500" s="5" t="str">
        <f>IFERROR(__xludf.DUMMYFUNCTION("""COMPUTED_VALUE"""),"developed")</f>
        <v>developed</v>
      </c>
      <c r="P500" s="5"/>
      <c r="Q500" s="5"/>
    </row>
    <row r="501">
      <c r="A501" s="5" t="str">
        <f>IFERROR(__xludf.DUMMYFUNCTION("""COMPUTED_VALUE"""),"Outbound")</f>
        <v>Outbound</v>
      </c>
      <c r="B501" s="5">
        <f>IFERROR(__xludf.DUMMYFUNCTION("""COMPUTED_VALUE"""),574.0)</f>
        <v>574</v>
      </c>
      <c r="C501" s="5" t="str">
        <f>IFERROR(__xludf.DUMMYFUNCTION("""COMPUTED_VALUE"""),"SEA BRIDLE")</f>
        <v>SEA BRIDLE</v>
      </c>
      <c r="D501" s="5">
        <f>IFERROR(__xludf.DUMMYFUNCTION("""COMPUTED_VALUE"""),9047001.0)</f>
        <v>9047001</v>
      </c>
      <c r="E501" s="5" t="str">
        <f>IFERROR(__xludf.DUMMYFUNCTION("""COMPUTED_VALUE"""),"Chornomorsk")</f>
        <v>Chornomorsk</v>
      </c>
      <c r="F501" s="5" t="str">
        <f>IFERROR(__xludf.DUMMYFUNCTION("""COMPUTED_VALUE"""),"Libya")</f>
        <v>Libya</v>
      </c>
      <c r="G501" s="5" t="str">
        <f>IFERROR(__xludf.DUMMYFUNCTION("""COMPUTED_VALUE"""),"Corn")</f>
        <v>Corn</v>
      </c>
      <c r="H501" s="6">
        <f>IFERROR(__xludf.DUMMYFUNCTION("""COMPUTED_VALUE"""),25000.0)</f>
        <v>25000</v>
      </c>
      <c r="I501" s="7">
        <f>IFERROR(__xludf.DUMMYFUNCTION("""COMPUTED_VALUE"""),44916.0)</f>
        <v>44916</v>
      </c>
      <c r="J501" s="7">
        <f>IFERROR(__xludf.DUMMYFUNCTION("""COMPUTED_VALUE"""),44924.0)</f>
        <v>44924</v>
      </c>
      <c r="K501" s="5" t="str">
        <f>IFERROR(__xludf.DUMMYFUNCTION("""COMPUTED_VALUE"""),"upper-middle-income")</f>
        <v>upper-middle-income</v>
      </c>
      <c r="L501" s="5" t="str">
        <f>IFERROR(__xludf.DUMMYFUNCTION("""COMPUTED_VALUE"""),"Belize")</f>
        <v>Belize</v>
      </c>
      <c r="M501" s="5" t="str">
        <f>IFERROR(__xludf.DUMMYFUNCTION("""COMPUTED_VALUE"""),"Middle East &amp; North Africa")</f>
        <v>Middle East &amp; North Africa</v>
      </c>
      <c r="N501" s="5" t="str">
        <f>IFERROR(__xludf.DUMMYFUNCTION("""COMPUTED_VALUE"""),"Africa")</f>
        <v>Africa</v>
      </c>
      <c r="O501" s="5" t="str">
        <f>IFERROR(__xludf.DUMMYFUNCTION("""COMPUTED_VALUE"""),"developing")</f>
        <v>developing</v>
      </c>
      <c r="P501" s="5"/>
      <c r="Q501" s="5"/>
    </row>
    <row r="502">
      <c r="A502" s="5" t="str">
        <f>IFERROR(__xludf.DUMMYFUNCTION("""COMPUTED_VALUE"""),"Outbound")</f>
        <v>Outbound</v>
      </c>
      <c r="B502" s="5">
        <f>IFERROR(__xludf.DUMMYFUNCTION("""COMPUTED_VALUE"""),573.0)</f>
        <v>573</v>
      </c>
      <c r="C502" s="5" t="str">
        <f>IFERROR(__xludf.DUMMYFUNCTION("""COMPUTED_VALUE"""),"FUAT BEY")</f>
        <v>FUAT BEY</v>
      </c>
      <c r="D502" s="5">
        <f>IFERROR(__xludf.DUMMYFUNCTION("""COMPUTED_VALUE"""),9663817.0)</f>
        <v>9663817</v>
      </c>
      <c r="E502" s="5" t="str">
        <f>IFERROR(__xludf.DUMMYFUNCTION("""COMPUTED_VALUE"""),"Chornomorsk")</f>
        <v>Chornomorsk</v>
      </c>
      <c r="F502" s="5" t="str">
        <f>IFERROR(__xludf.DUMMYFUNCTION("""COMPUTED_VALUE"""),"China")</f>
        <v>China</v>
      </c>
      <c r="G502" s="5" t="str">
        <f>IFERROR(__xludf.DUMMYFUNCTION("""COMPUTED_VALUE"""),"Sunflower meal")</f>
        <v>Sunflower meal</v>
      </c>
      <c r="H502" s="6">
        <f>IFERROR(__xludf.DUMMYFUNCTION("""COMPUTED_VALUE"""),25400.0)</f>
        <v>25400</v>
      </c>
      <c r="I502" s="7">
        <f>IFERROR(__xludf.DUMMYFUNCTION("""COMPUTED_VALUE"""),44916.0)</f>
        <v>44916</v>
      </c>
      <c r="J502" s="7">
        <f>IFERROR(__xludf.DUMMYFUNCTION("""COMPUTED_VALUE"""),44921.0)</f>
        <v>44921</v>
      </c>
      <c r="K502" s="5" t="str">
        <f>IFERROR(__xludf.DUMMYFUNCTION("""COMPUTED_VALUE"""),"upper-middle-income")</f>
        <v>upper-middle-income</v>
      </c>
      <c r="L502" s="5" t="str">
        <f>IFERROR(__xludf.DUMMYFUNCTION("""COMPUTED_VALUE"""),"Marshall Islands")</f>
        <v>Marshall Islands</v>
      </c>
      <c r="M502" s="5" t="str">
        <f>IFERROR(__xludf.DUMMYFUNCTION("""COMPUTED_VALUE"""),"East Asia &amp; Pacific")</f>
        <v>East Asia &amp; Pacific</v>
      </c>
      <c r="N502" s="5" t="str">
        <f>IFERROR(__xludf.DUMMYFUNCTION("""COMPUTED_VALUE"""),"Asia-Pacific")</f>
        <v>Asia-Pacific</v>
      </c>
      <c r="O502" s="5" t="str">
        <f>IFERROR(__xludf.DUMMYFUNCTION("""COMPUTED_VALUE"""),"developing")</f>
        <v>developing</v>
      </c>
      <c r="P502" s="5"/>
      <c r="Q502" s="5"/>
    </row>
    <row r="503">
      <c r="A503" s="5" t="str">
        <f>IFERROR(__xludf.DUMMYFUNCTION("""COMPUTED_VALUE"""),"Outbound")</f>
        <v>Outbound</v>
      </c>
      <c r="B503" s="5">
        <f>IFERROR(__xludf.DUMMYFUNCTION("""COMPUTED_VALUE"""),572.0)</f>
        <v>572</v>
      </c>
      <c r="C503" s="5" t="str">
        <f>IFERROR(__xludf.DUMMYFUNCTION("""COMPUTED_VALUE"""),"SEVIL")</f>
        <v>SEVIL</v>
      </c>
      <c r="D503" s="5">
        <f>IFERROR(__xludf.DUMMYFUNCTION("""COMPUTED_VALUE"""),9148518.0)</f>
        <v>9148518</v>
      </c>
      <c r="E503" s="5" t="str">
        <f>IFERROR(__xludf.DUMMYFUNCTION("""COMPUTED_VALUE"""),"Odesa")</f>
        <v>Odesa</v>
      </c>
      <c r="F503" s="5" t="str">
        <f>IFERROR(__xludf.DUMMYFUNCTION("""COMPUTED_VALUE"""),"Türkiye")</f>
        <v>Türkiye</v>
      </c>
      <c r="G503" s="5" t="str">
        <f>IFERROR(__xludf.DUMMYFUNCTION("""COMPUTED_VALUE"""),"Corn")</f>
        <v>Corn</v>
      </c>
      <c r="H503" s="6">
        <f>IFERROR(__xludf.DUMMYFUNCTION("""COMPUTED_VALUE"""),1966.0)</f>
        <v>1966</v>
      </c>
      <c r="I503" s="7">
        <f>IFERROR(__xludf.DUMMYFUNCTION("""COMPUTED_VALUE"""),44915.0)</f>
        <v>44915</v>
      </c>
      <c r="J503" s="7">
        <f>IFERROR(__xludf.DUMMYFUNCTION("""COMPUTED_VALUE"""),44920.0)</f>
        <v>44920</v>
      </c>
      <c r="K503" s="5" t="str">
        <f>IFERROR(__xludf.DUMMYFUNCTION("""COMPUTED_VALUE"""),"upper-middle-income")</f>
        <v>upper-middle-income</v>
      </c>
      <c r="L503" s="5" t="str">
        <f>IFERROR(__xludf.DUMMYFUNCTION("""COMPUTED_VALUE"""),"Vanuatu")</f>
        <v>Vanuatu</v>
      </c>
      <c r="M503" s="5" t="str">
        <f>IFERROR(__xludf.DUMMYFUNCTION("""COMPUTED_VALUE"""),"Europe &amp; Central Asia")</f>
        <v>Europe &amp; Central Asia</v>
      </c>
      <c r="N503" s="5" t="str">
        <f>IFERROR(__xludf.DUMMYFUNCTION("""COMPUTED_VALUE"""),"Asia-Pacific")</f>
        <v>Asia-Pacific</v>
      </c>
      <c r="O503" s="5" t="str">
        <f>IFERROR(__xludf.DUMMYFUNCTION("""COMPUTED_VALUE"""),"developing")</f>
        <v>developing</v>
      </c>
      <c r="P503" s="5"/>
      <c r="Q503" s="5"/>
    </row>
    <row r="504">
      <c r="A504" s="5" t="str">
        <f>IFERROR(__xludf.DUMMYFUNCTION("""COMPUTED_VALUE"""),"Outbound +")</f>
        <v>Outbound +</v>
      </c>
      <c r="B504" s="5">
        <f>IFERROR(__xludf.DUMMYFUNCTION("""COMPUTED_VALUE"""),572.0)</f>
        <v>572</v>
      </c>
      <c r="C504" s="5" t="str">
        <f>IFERROR(__xludf.DUMMYFUNCTION("""COMPUTED_VALUE"""),"SEVIL")</f>
        <v>SEVIL</v>
      </c>
      <c r="D504" s="5">
        <f>IFERROR(__xludf.DUMMYFUNCTION("""COMPUTED_VALUE"""),9148518.0)</f>
        <v>9148518</v>
      </c>
      <c r="E504" s="5" t="str">
        <f>IFERROR(__xludf.DUMMYFUNCTION("""COMPUTED_VALUE"""),"Odesa")</f>
        <v>Odesa</v>
      </c>
      <c r="F504" s="5" t="str">
        <f>IFERROR(__xludf.DUMMYFUNCTION("""COMPUTED_VALUE"""),"Türkiye")</f>
        <v>Türkiye</v>
      </c>
      <c r="G504" s="5" t="str">
        <f>IFERROR(__xludf.DUMMYFUNCTION("""COMPUTED_VALUE"""),"Wheat")</f>
        <v>Wheat</v>
      </c>
      <c r="H504" s="6">
        <f>IFERROR(__xludf.DUMMYFUNCTION("""COMPUTED_VALUE"""),2959.0)</f>
        <v>2959</v>
      </c>
      <c r="I504" s="7">
        <f>IFERROR(__xludf.DUMMYFUNCTION("""COMPUTED_VALUE"""),44915.0)</f>
        <v>44915</v>
      </c>
      <c r="J504" s="7">
        <f>IFERROR(__xludf.DUMMYFUNCTION("""COMPUTED_VALUE"""),44920.0)</f>
        <v>44920</v>
      </c>
      <c r="K504" s="5" t="str">
        <f>IFERROR(__xludf.DUMMYFUNCTION("""COMPUTED_VALUE"""),"upper-middle-income")</f>
        <v>upper-middle-income</v>
      </c>
      <c r="L504" s="5" t="str">
        <f>IFERROR(__xludf.DUMMYFUNCTION("""COMPUTED_VALUE"""),"Vanuatu")</f>
        <v>Vanuatu</v>
      </c>
      <c r="M504" s="5" t="str">
        <f>IFERROR(__xludf.DUMMYFUNCTION("""COMPUTED_VALUE"""),"Europe &amp; Central Asia")</f>
        <v>Europe &amp; Central Asia</v>
      </c>
      <c r="N504" s="5" t="str">
        <f>IFERROR(__xludf.DUMMYFUNCTION("""COMPUTED_VALUE"""),"Asia-Pacific")</f>
        <v>Asia-Pacific</v>
      </c>
      <c r="O504" s="5" t="str">
        <f>IFERROR(__xludf.DUMMYFUNCTION("""COMPUTED_VALUE"""),"developing")</f>
        <v>developing</v>
      </c>
      <c r="P504" s="5"/>
      <c r="Q504" s="5"/>
    </row>
    <row r="505">
      <c r="A505" s="5" t="str">
        <f>IFERROR(__xludf.DUMMYFUNCTION("""COMPUTED_VALUE"""),"Outbound")</f>
        <v>Outbound</v>
      </c>
      <c r="B505" s="5">
        <f>IFERROR(__xludf.DUMMYFUNCTION("""COMPUTED_VALUE"""),571.0)</f>
        <v>571</v>
      </c>
      <c r="C505" s="5" t="str">
        <f>IFERROR(__xludf.DUMMYFUNCTION("""COMPUTED_VALUE"""),"HALIM M")</f>
        <v>HALIM M</v>
      </c>
      <c r="D505" s="5">
        <f>IFERROR(__xludf.DUMMYFUNCTION("""COMPUTED_VALUE"""),8606109.0)</f>
        <v>8606109</v>
      </c>
      <c r="E505" s="5" t="str">
        <f>IFERROR(__xludf.DUMMYFUNCTION("""COMPUTED_VALUE"""),"Odesa")</f>
        <v>Odesa</v>
      </c>
      <c r="F505" s="5" t="str">
        <f>IFERROR(__xludf.DUMMYFUNCTION("""COMPUTED_VALUE"""),"Italy")</f>
        <v>Italy</v>
      </c>
      <c r="G505" s="5" t="str">
        <f>IFERROR(__xludf.DUMMYFUNCTION("""COMPUTED_VALUE"""),"Wheat")</f>
        <v>Wheat</v>
      </c>
      <c r="H505" s="6">
        <f>IFERROR(__xludf.DUMMYFUNCTION("""COMPUTED_VALUE"""),11000.0)</f>
        <v>11000</v>
      </c>
      <c r="I505" s="7">
        <f>IFERROR(__xludf.DUMMYFUNCTION("""COMPUTED_VALUE"""),44915.0)</f>
        <v>44915</v>
      </c>
      <c r="J505" s="7">
        <f>IFERROR(__xludf.DUMMYFUNCTION("""COMPUTED_VALUE"""),44925.0)</f>
        <v>44925</v>
      </c>
      <c r="K505" s="5" t="str">
        <f>IFERROR(__xludf.DUMMYFUNCTION("""COMPUTED_VALUE"""),"high-income")</f>
        <v>high-income</v>
      </c>
      <c r="L505" s="5" t="str">
        <f>IFERROR(__xludf.DUMMYFUNCTION("""COMPUTED_VALUE"""),"Palau")</f>
        <v>Palau</v>
      </c>
      <c r="M505" s="5" t="str">
        <f>IFERROR(__xludf.DUMMYFUNCTION("""COMPUTED_VALUE"""),"Europe &amp; Central Asia")</f>
        <v>Europe &amp; Central Asia</v>
      </c>
      <c r="N505" s="5" t="str">
        <f>IFERROR(__xludf.DUMMYFUNCTION("""COMPUTED_VALUE"""),"Western Europe and Others")</f>
        <v>Western Europe and Others</v>
      </c>
      <c r="O505" s="5" t="str">
        <f>IFERROR(__xludf.DUMMYFUNCTION("""COMPUTED_VALUE"""),"developed")</f>
        <v>developed</v>
      </c>
      <c r="P505" s="5"/>
      <c r="Q505" s="5"/>
    </row>
    <row r="506">
      <c r="A506" s="5" t="str">
        <f>IFERROR(__xludf.DUMMYFUNCTION("""COMPUTED_VALUE"""),"Outbound")</f>
        <v>Outbound</v>
      </c>
      <c r="B506" s="5">
        <f>IFERROR(__xludf.DUMMYFUNCTION("""COMPUTED_VALUE"""),570.0)</f>
        <v>570</v>
      </c>
      <c r="C506" s="5" t="str">
        <f>IFERROR(__xludf.DUMMYFUNCTION("""COMPUTED_VALUE"""),"DIAS ")</f>
        <v>DIAS </v>
      </c>
      <c r="D506" s="5">
        <f>IFERROR(__xludf.DUMMYFUNCTION("""COMPUTED_VALUE"""),9248904.0)</f>
        <v>9248904</v>
      </c>
      <c r="E506" s="5" t="str">
        <f>IFERROR(__xludf.DUMMYFUNCTION("""COMPUTED_VALUE"""),"Odesa")</f>
        <v>Odesa</v>
      </c>
      <c r="F506" s="5" t="str">
        <f>IFERROR(__xludf.DUMMYFUNCTION("""COMPUTED_VALUE"""),"China")</f>
        <v>China</v>
      </c>
      <c r="G506" s="5" t="str">
        <f>IFERROR(__xludf.DUMMYFUNCTION("""COMPUTED_VALUE"""),"Corn")</f>
        <v>Corn</v>
      </c>
      <c r="H506" s="6">
        <f>IFERROR(__xludf.DUMMYFUNCTION("""COMPUTED_VALUE"""),63000.0)</f>
        <v>63000</v>
      </c>
      <c r="I506" s="7">
        <f>IFERROR(__xludf.DUMMYFUNCTION("""COMPUTED_VALUE"""),44915.0)</f>
        <v>44915</v>
      </c>
      <c r="J506" s="7">
        <f>IFERROR(__xludf.DUMMYFUNCTION("""COMPUTED_VALUE"""),44923.0)</f>
        <v>44923</v>
      </c>
      <c r="K506" s="5" t="str">
        <f>IFERROR(__xludf.DUMMYFUNCTION("""COMPUTED_VALUE"""),"upper-middle-income")</f>
        <v>upper-middle-income</v>
      </c>
      <c r="L506" s="5" t="str">
        <f>IFERROR(__xludf.DUMMYFUNCTION("""COMPUTED_VALUE"""),"Liberia")</f>
        <v>Liberia</v>
      </c>
      <c r="M506" s="5" t="str">
        <f>IFERROR(__xludf.DUMMYFUNCTION("""COMPUTED_VALUE"""),"East Asia &amp; Pacific")</f>
        <v>East Asia &amp; Pacific</v>
      </c>
      <c r="N506" s="5" t="str">
        <f>IFERROR(__xludf.DUMMYFUNCTION("""COMPUTED_VALUE"""),"Asia-Pacific")</f>
        <v>Asia-Pacific</v>
      </c>
      <c r="O506" s="5" t="str">
        <f>IFERROR(__xludf.DUMMYFUNCTION("""COMPUTED_VALUE"""),"developing")</f>
        <v>developing</v>
      </c>
      <c r="P506" s="5"/>
      <c r="Q506" s="5"/>
    </row>
    <row r="507">
      <c r="A507" s="5" t="str">
        <f>IFERROR(__xludf.DUMMYFUNCTION("""COMPUTED_VALUE"""),"Outbound")</f>
        <v>Outbound</v>
      </c>
      <c r="B507" s="5">
        <f>IFERROR(__xludf.DUMMYFUNCTION("""COMPUTED_VALUE"""),569.0)</f>
        <v>569</v>
      </c>
      <c r="C507" s="5" t="str">
        <f>IFERROR(__xludf.DUMMYFUNCTION("""COMPUTED_VALUE"""),"ACRA")</f>
        <v>ACRA</v>
      </c>
      <c r="D507" s="5">
        <f>IFERROR(__xludf.DUMMYFUNCTION("""COMPUTED_VALUE"""),9693410.0)</f>
        <v>9693410</v>
      </c>
      <c r="E507" s="5" t="str">
        <f>IFERROR(__xludf.DUMMYFUNCTION("""COMPUTED_VALUE"""),"Yuzhny/Pivdennyi")</f>
        <v>Yuzhny/Pivdennyi</v>
      </c>
      <c r="F507" s="5" t="str">
        <f>IFERROR(__xludf.DUMMYFUNCTION("""COMPUTED_VALUE"""),"China")</f>
        <v>China</v>
      </c>
      <c r="G507" s="5" t="str">
        <f>IFERROR(__xludf.DUMMYFUNCTION("""COMPUTED_VALUE"""),"Corn")</f>
        <v>Corn</v>
      </c>
      <c r="H507" s="6">
        <f>IFERROR(__xludf.DUMMYFUNCTION("""COMPUTED_VALUE"""),60066.0)</f>
        <v>60066</v>
      </c>
      <c r="I507" s="7">
        <f>IFERROR(__xludf.DUMMYFUNCTION("""COMPUTED_VALUE"""),44915.0)</f>
        <v>44915</v>
      </c>
      <c r="J507" s="7">
        <f>IFERROR(__xludf.DUMMYFUNCTION("""COMPUTED_VALUE"""),44924.0)</f>
        <v>44924</v>
      </c>
      <c r="K507" s="5" t="str">
        <f>IFERROR(__xludf.DUMMYFUNCTION("""COMPUTED_VALUE"""),"upper-middle-income")</f>
        <v>upper-middle-income</v>
      </c>
      <c r="L507" s="5" t="str">
        <f>IFERROR(__xludf.DUMMYFUNCTION("""COMPUTED_VALUE"""),"Liberia")</f>
        <v>Liberia</v>
      </c>
      <c r="M507" s="5" t="str">
        <f>IFERROR(__xludf.DUMMYFUNCTION("""COMPUTED_VALUE"""),"East Asia &amp; Pacific")</f>
        <v>East Asia &amp; Pacific</v>
      </c>
      <c r="N507" s="5" t="str">
        <f>IFERROR(__xludf.DUMMYFUNCTION("""COMPUTED_VALUE"""),"Asia-Pacific")</f>
        <v>Asia-Pacific</v>
      </c>
      <c r="O507" s="5" t="str">
        <f>IFERROR(__xludf.DUMMYFUNCTION("""COMPUTED_VALUE"""),"developing")</f>
        <v>developing</v>
      </c>
      <c r="P507" s="5"/>
      <c r="Q507" s="5"/>
    </row>
    <row r="508">
      <c r="A508" s="5" t="str">
        <f>IFERROR(__xludf.DUMMYFUNCTION("""COMPUTED_VALUE"""),"Outbound +")</f>
        <v>Outbound +</v>
      </c>
      <c r="B508" s="5">
        <f>IFERROR(__xludf.DUMMYFUNCTION("""COMPUTED_VALUE"""),569.0)</f>
        <v>569</v>
      </c>
      <c r="C508" s="5" t="str">
        <f>IFERROR(__xludf.DUMMYFUNCTION("""COMPUTED_VALUE"""),"ACRA")</f>
        <v>ACRA</v>
      </c>
      <c r="D508" s="5">
        <f>IFERROR(__xludf.DUMMYFUNCTION("""COMPUTED_VALUE"""),9693410.0)</f>
        <v>9693410</v>
      </c>
      <c r="E508" s="5" t="str">
        <f>IFERROR(__xludf.DUMMYFUNCTION("""COMPUTED_VALUE"""),"Yuzhny/Pivdennyi")</f>
        <v>Yuzhny/Pivdennyi</v>
      </c>
      <c r="F508" s="5" t="str">
        <f>IFERROR(__xludf.DUMMYFUNCTION("""COMPUTED_VALUE"""),"China")</f>
        <v>China</v>
      </c>
      <c r="G508" s="5" t="str">
        <f>IFERROR(__xludf.DUMMYFUNCTION("""COMPUTED_VALUE"""),"Sunflower meal")</f>
        <v>Sunflower meal</v>
      </c>
      <c r="H508" s="6">
        <f>IFERROR(__xludf.DUMMYFUNCTION("""COMPUTED_VALUE"""),9188.0)</f>
        <v>9188</v>
      </c>
      <c r="I508" s="7">
        <f>IFERROR(__xludf.DUMMYFUNCTION("""COMPUTED_VALUE"""),44915.0)</f>
        <v>44915</v>
      </c>
      <c r="J508" s="7">
        <f>IFERROR(__xludf.DUMMYFUNCTION("""COMPUTED_VALUE"""),44924.0)</f>
        <v>44924</v>
      </c>
      <c r="K508" s="5" t="str">
        <f>IFERROR(__xludf.DUMMYFUNCTION("""COMPUTED_VALUE"""),"upper-middle-income")</f>
        <v>upper-middle-income</v>
      </c>
      <c r="L508" s="5" t="str">
        <f>IFERROR(__xludf.DUMMYFUNCTION("""COMPUTED_VALUE"""),"Liberia")</f>
        <v>Liberia</v>
      </c>
      <c r="M508" s="5" t="str">
        <f>IFERROR(__xludf.DUMMYFUNCTION("""COMPUTED_VALUE"""),"East Asia &amp; Pacific")</f>
        <v>East Asia &amp; Pacific</v>
      </c>
      <c r="N508" s="5" t="str">
        <f>IFERROR(__xludf.DUMMYFUNCTION("""COMPUTED_VALUE"""),"Asia-Pacific")</f>
        <v>Asia-Pacific</v>
      </c>
      <c r="O508" s="5" t="str">
        <f>IFERROR(__xludf.DUMMYFUNCTION("""COMPUTED_VALUE"""),"developing")</f>
        <v>developing</v>
      </c>
      <c r="P508" s="5"/>
      <c r="Q508" s="5"/>
    </row>
    <row r="509">
      <c r="A509" s="5" t="str">
        <f>IFERROR(__xludf.DUMMYFUNCTION("""COMPUTED_VALUE"""),"Outbound")</f>
        <v>Outbound</v>
      </c>
      <c r="B509" s="5">
        <f>IFERROR(__xludf.DUMMYFUNCTION("""COMPUTED_VALUE"""),568.0)</f>
        <v>568</v>
      </c>
      <c r="C509" s="5" t="str">
        <f>IFERROR(__xludf.DUMMYFUNCTION("""COMPUTED_VALUE"""),"ULUSOY 8")</f>
        <v>ULUSOY 8</v>
      </c>
      <c r="D509" s="5">
        <f>IFERROR(__xludf.DUMMYFUNCTION("""COMPUTED_VALUE"""),9458250.0)</f>
        <v>9458250</v>
      </c>
      <c r="E509" s="5" t="str">
        <f>IFERROR(__xludf.DUMMYFUNCTION("""COMPUTED_VALUE"""),"Yuzhny/Pivdennyi")</f>
        <v>Yuzhny/Pivdennyi</v>
      </c>
      <c r="F509" s="5" t="str">
        <f>IFERROR(__xludf.DUMMYFUNCTION("""COMPUTED_VALUE"""),"Türkiye")</f>
        <v>Türkiye</v>
      </c>
      <c r="G509" s="5" t="str">
        <f>IFERROR(__xludf.DUMMYFUNCTION("""COMPUTED_VALUE"""),"Soya beans")</f>
        <v>Soya beans</v>
      </c>
      <c r="H509" s="6">
        <f>IFERROR(__xludf.DUMMYFUNCTION("""COMPUTED_VALUE"""),21000.0)</f>
        <v>21000</v>
      </c>
      <c r="I509" s="7">
        <f>IFERROR(__xludf.DUMMYFUNCTION("""COMPUTED_VALUE"""),44914.0)</f>
        <v>44914</v>
      </c>
      <c r="J509" s="7">
        <f>IFERROR(__xludf.DUMMYFUNCTION("""COMPUTED_VALUE"""),44920.0)</f>
        <v>44920</v>
      </c>
      <c r="K509" s="5" t="str">
        <f>IFERROR(__xludf.DUMMYFUNCTION("""COMPUTED_VALUE"""),"upper-middle-income")</f>
        <v>upper-middle-income</v>
      </c>
      <c r="L509" s="5" t="str">
        <f>IFERROR(__xludf.DUMMYFUNCTION("""COMPUTED_VALUE"""),"Turkiye")</f>
        <v>Turkiye</v>
      </c>
      <c r="M509" s="5" t="str">
        <f>IFERROR(__xludf.DUMMYFUNCTION("""COMPUTED_VALUE"""),"Europe &amp; Central Asia")</f>
        <v>Europe &amp; Central Asia</v>
      </c>
      <c r="N509" s="5" t="str">
        <f>IFERROR(__xludf.DUMMYFUNCTION("""COMPUTED_VALUE"""),"Asia-Pacific")</f>
        <v>Asia-Pacific</v>
      </c>
      <c r="O509" s="5" t="str">
        <f>IFERROR(__xludf.DUMMYFUNCTION("""COMPUTED_VALUE"""),"developing")</f>
        <v>developing</v>
      </c>
      <c r="P509" s="5"/>
      <c r="Q509" s="5"/>
    </row>
    <row r="510">
      <c r="A510" s="5" t="str">
        <f>IFERROR(__xludf.DUMMYFUNCTION("""COMPUTED_VALUE"""),"Outbound")</f>
        <v>Outbound</v>
      </c>
      <c r="B510" s="5">
        <f>IFERROR(__xludf.DUMMYFUNCTION("""COMPUTED_VALUE"""),567.0)</f>
        <v>567</v>
      </c>
      <c r="C510" s="5" t="str">
        <f>IFERROR(__xludf.DUMMYFUNCTION("""COMPUTED_VALUE"""),"PRINCESS MANISSA")</f>
        <v>PRINCESS MANISSA</v>
      </c>
      <c r="D510" s="5">
        <f>IFERROR(__xludf.DUMMYFUNCTION("""COMPUTED_VALUE"""),9084217.0)</f>
        <v>9084217</v>
      </c>
      <c r="E510" s="5" t="str">
        <f>IFERROR(__xludf.DUMMYFUNCTION("""COMPUTED_VALUE"""),"Odesa")</f>
        <v>Odesa</v>
      </c>
      <c r="F510" s="5" t="str">
        <f>IFERROR(__xludf.DUMMYFUNCTION("""COMPUTED_VALUE"""),"Libya")</f>
        <v>Libya</v>
      </c>
      <c r="G510" s="5" t="str">
        <f>IFERROR(__xludf.DUMMYFUNCTION("""COMPUTED_VALUE"""),"Corn")</f>
        <v>Corn</v>
      </c>
      <c r="H510" s="6">
        <f>IFERROR(__xludf.DUMMYFUNCTION("""COMPUTED_VALUE"""),20500.0)</f>
        <v>20500</v>
      </c>
      <c r="I510" s="7">
        <f>IFERROR(__xludf.DUMMYFUNCTION("""COMPUTED_VALUE"""),44914.0)</f>
        <v>44914</v>
      </c>
      <c r="J510" s="7">
        <f>IFERROR(__xludf.DUMMYFUNCTION("""COMPUTED_VALUE"""),44925.0)</f>
        <v>44925</v>
      </c>
      <c r="K510" s="5" t="str">
        <f>IFERROR(__xludf.DUMMYFUNCTION("""COMPUTED_VALUE"""),"upper-middle-income")</f>
        <v>upper-middle-income</v>
      </c>
      <c r="L510" s="5" t="str">
        <f>IFERROR(__xludf.DUMMYFUNCTION("""COMPUTED_VALUE"""),"St. Kitts and Navis")</f>
        <v>St. Kitts and Navis</v>
      </c>
      <c r="M510" s="5" t="str">
        <f>IFERROR(__xludf.DUMMYFUNCTION("""COMPUTED_VALUE"""),"Middle East &amp; North Africa")</f>
        <v>Middle East &amp; North Africa</v>
      </c>
      <c r="N510" s="5" t="str">
        <f>IFERROR(__xludf.DUMMYFUNCTION("""COMPUTED_VALUE"""),"Africa")</f>
        <v>Africa</v>
      </c>
      <c r="O510" s="5" t="str">
        <f>IFERROR(__xludf.DUMMYFUNCTION("""COMPUTED_VALUE"""),"developing")</f>
        <v>developing</v>
      </c>
      <c r="P510" s="5"/>
      <c r="Q510" s="5"/>
    </row>
    <row r="511">
      <c r="A511" s="5" t="str">
        <f>IFERROR(__xludf.DUMMYFUNCTION("""COMPUTED_VALUE"""),"Outbound")</f>
        <v>Outbound</v>
      </c>
      <c r="B511" s="5">
        <f>IFERROR(__xludf.DUMMYFUNCTION("""COMPUTED_VALUE"""),566.0)</f>
        <v>566</v>
      </c>
      <c r="C511" s="5" t="str">
        <f>IFERROR(__xludf.DUMMYFUNCTION("""COMPUTED_VALUE"""),"INCE ATLANTIC")</f>
        <v>INCE ATLANTIC</v>
      </c>
      <c r="D511" s="5">
        <f>IFERROR(__xludf.DUMMYFUNCTION("""COMPUTED_VALUE"""),9222508.0)</f>
        <v>9222508</v>
      </c>
      <c r="E511" s="5" t="str">
        <f>IFERROR(__xludf.DUMMYFUNCTION("""COMPUTED_VALUE"""),"Odesa")</f>
        <v>Odesa</v>
      </c>
      <c r="F511" s="5" t="str">
        <f>IFERROR(__xludf.DUMMYFUNCTION("""COMPUTED_VALUE"""),"Kenya")</f>
        <v>Kenya</v>
      </c>
      <c r="G511" s="5" t="str">
        <f>IFERROR(__xludf.DUMMYFUNCTION("""COMPUTED_VALUE"""),"Wheat")</f>
        <v>Wheat</v>
      </c>
      <c r="H511" s="6">
        <f>IFERROR(__xludf.DUMMYFUNCTION("""COMPUTED_VALUE"""),44000.0)</f>
        <v>44000</v>
      </c>
      <c r="I511" s="7">
        <f>IFERROR(__xludf.DUMMYFUNCTION("""COMPUTED_VALUE"""),44914.0)</f>
        <v>44914</v>
      </c>
      <c r="J511" s="7">
        <f>IFERROR(__xludf.DUMMYFUNCTION("""COMPUTED_VALUE"""),44919.0)</f>
        <v>44919</v>
      </c>
      <c r="K511" s="5" t="str">
        <f>IFERROR(__xludf.DUMMYFUNCTION("""COMPUTED_VALUE"""),"lower-middle income")</f>
        <v>lower-middle income</v>
      </c>
      <c r="L511" s="5" t="str">
        <f>IFERROR(__xludf.DUMMYFUNCTION("""COMPUTED_VALUE"""),"Turkiye")</f>
        <v>Turkiye</v>
      </c>
      <c r="M511" s="5" t="str">
        <f>IFERROR(__xludf.DUMMYFUNCTION("""COMPUTED_VALUE"""),"Sub-Saharan Africa")</f>
        <v>Sub-Saharan Africa</v>
      </c>
      <c r="N511" s="5" t="str">
        <f>IFERROR(__xludf.DUMMYFUNCTION("""COMPUTED_VALUE"""),"Africa")</f>
        <v>Africa</v>
      </c>
      <c r="O511" s="5" t="str">
        <f>IFERROR(__xludf.DUMMYFUNCTION("""COMPUTED_VALUE"""),"developing")</f>
        <v>developing</v>
      </c>
      <c r="P511" s="5"/>
      <c r="Q511" s="5"/>
    </row>
    <row r="512">
      <c r="A512" s="5" t="str">
        <f>IFERROR(__xludf.DUMMYFUNCTION("""COMPUTED_VALUE"""),"Outbound")</f>
        <v>Outbound</v>
      </c>
      <c r="B512" s="5">
        <f>IFERROR(__xludf.DUMMYFUNCTION("""COMPUTED_VALUE"""),565.0)</f>
        <v>565</v>
      </c>
      <c r="C512" s="5" t="str">
        <f>IFERROR(__xludf.DUMMYFUNCTION("""COMPUTED_VALUE"""),"CYCLADES")</f>
        <v>CYCLADES</v>
      </c>
      <c r="D512" s="5">
        <f>IFERROR(__xludf.DUMMYFUNCTION("""COMPUTED_VALUE"""),9799616.0)</f>
        <v>9799616</v>
      </c>
      <c r="E512" s="5" t="str">
        <f>IFERROR(__xludf.DUMMYFUNCTION("""COMPUTED_VALUE"""),"Yuzhny/Pivdennyi")</f>
        <v>Yuzhny/Pivdennyi</v>
      </c>
      <c r="F512" s="5" t="str">
        <f>IFERROR(__xludf.DUMMYFUNCTION("""COMPUTED_VALUE"""),"Spain")</f>
        <v>Spain</v>
      </c>
      <c r="G512" s="5" t="str">
        <f>IFERROR(__xludf.DUMMYFUNCTION("""COMPUTED_VALUE"""),"Corn")</f>
        <v>Corn</v>
      </c>
      <c r="H512" s="6">
        <f>IFERROR(__xludf.DUMMYFUNCTION("""COMPUTED_VALUE"""),55000.0)</f>
        <v>55000</v>
      </c>
      <c r="I512" s="7">
        <f>IFERROR(__xludf.DUMMYFUNCTION("""COMPUTED_VALUE"""),44914.0)</f>
        <v>44914</v>
      </c>
      <c r="J512" s="7">
        <f>IFERROR(__xludf.DUMMYFUNCTION("""COMPUTED_VALUE"""),44920.0)</f>
        <v>44920</v>
      </c>
      <c r="K512" s="5" t="str">
        <f>IFERROR(__xludf.DUMMYFUNCTION("""COMPUTED_VALUE"""),"high-income")</f>
        <v>high-income</v>
      </c>
      <c r="L512" s="5" t="str">
        <f>IFERROR(__xludf.DUMMYFUNCTION("""COMPUTED_VALUE"""),"Malta")</f>
        <v>Malta</v>
      </c>
      <c r="M512" s="5" t="str">
        <f>IFERROR(__xludf.DUMMYFUNCTION("""COMPUTED_VALUE"""),"Europe &amp; Central Asia")</f>
        <v>Europe &amp; Central Asia</v>
      </c>
      <c r="N512" s="5" t="str">
        <f>IFERROR(__xludf.DUMMYFUNCTION("""COMPUTED_VALUE"""),"Western Europe and Others")</f>
        <v>Western Europe and Others</v>
      </c>
      <c r="O512" s="5" t="str">
        <f>IFERROR(__xludf.DUMMYFUNCTION("""COMPUTED_VALUE"""),"developed")</f>
        <v>developed</v>
      </c>
      <c r="P512" s="5"/>
      <c r="Q512" s="5"/>
    </row>
    <row r="513">
      <c r="A513" s="5" t="str">
        <f>IFERROR(__xludf.DUMMYFUNCTION("""COMPUTED_VALUE"""),"Outbound")</f>
        <v>Outbound</v>
      </c>
      <c r="B513" s="5">
        <f>IFERROR(__xludf.DUMMYFUNCTION("""COMPUTED_VALUE"""),564.0)</f>
        <v>564</v>
      </c>
      <c r="C513" s="5" t="str">
        <f>IFERROR(__xludf.DUMMYFUNCTION("""COMPUTED_VALUE"""),"BOSPHORUS ASIA")</f>
        <v>BOSPHORUS ASIA</v>
      </c>
      <c r="D513" s="5">
        <f>IFERROR(__xludf.DUMMYFUNCTION("""COMPUTED_VALUE"""),9250696.0)</f>
        <v>9250696</v>
      </c>
      <c r="E513" s="5" t="str">
        <f>IFERROR(__xludf.DUMMYFUNCTION("""COMPUTED_VALUE"""),"Chornomorsk")</f>
        <v>Chornomorsk</v>
      </c>
      <c r="F513" s="5" t="str">
        <f>IFERROR(__xludf.DUMMYFUNCTION("""COMPUTED_VALUE"""),"Tunisia")</f>
        <v>Tunisia</v>
      </c>
      <c r="G513" s="5" t="str">
        <f>IFERROR(__xludf.DUMMYFUNCTION("""COMPUTED_VALUE"""),"Corn")</f>
        <v>Corn</v>
      </c>
      <c r="H513" s="6">
        <f>IFERROR(__xludf.DUMMYFUNCTION("""COMPUTED_VALUE"""),30500.0)</f>
        <v>30500</v>
      </c>
      <c r="I513" s="7">
        <f>IFERROR(__xludf.DUMMYFUNCTION("""COMPUTED_VALUE"""),44914.0)</f>
        <v>44914</v>
      </c>
      <c r="J513" s="7">
        <f>IFERROR(__xludf.DUMMYFUNCTION("""COMPUTED_VALUE"""),44920.0)</f>
        <v>44920</v>
      </c>
      <c r="K513" s="5" t="str">
        <f>IFERROR(__xludf.DUMMYFUNCTION("""COMPUTED_VALUE"""),"lower-middle income")</f>
        <v>lower-middle income</v>
      </c>
      <c r="L513" s="5" t="str">
        <f>IFERROR(__xludf.DUMMYFUNCTION("""COMPUTED_VALUE"""),"Liberia")</f>
        <v>Liberia</v>
      </c>
      <c r="M513" s="5" t="str">
        <f>IFERROR(__xludf.DUMMYFUNCTION("""COMPUTED_VALUE"""),"Middle East &amp; North Africa")</f>
        <v>Middle East &amp; North Africa</v>
      </c>
      <c r="N513" s="5" t="str">
        <f>IFERROR(__xludf.DUMMYFUNCTION("""COMPUTED_VALUE"""),"Africa")</f>
        <v>Africa</v>
      </c>
      <c r="O513" s="5" t="str">
        <f>IFERROR(__xludf.DUMMYFUNCTION("""COMPUTED_VALUE"""),"developing")</f>
        <v>developing</v>
      </c>
      <c r="P513" s="5"/>
      <c r="Q513" s="5"/>
    </row>
    <row r="514">
      <c r="A514" s="5" t="str">
        <f>IFERROR(__xludf.DUMMYFUNCTION("""COMPUTED_VALUE"""),"Outbound")</f>
        <v>Outbound</v>
      </c>
      <c r="B514" s="5">
        <f>IFERROR(__xludf.DUMMYFUNCTION("""COMPUTED_VALUE"""),563.0)</f>
        <v>563</v>
      </c>
      <c r="C514" s="5" t="str">
        <f>IFERROR(__xludf.DUMMYFUNCTION("""COMPUTED_VALUE"""),"LADY AYANA")</f>
        <v>LADY AYANA</v>
      </c>
      <c r="D514" s="5">
        <f>IFERROR(__xludf.DUMMYFUNCTION("""COMPUTED_VALUE"""),9196395.0)</f>
        <v>9196395</v>
      </c>
      <c r="E514" s="5" t="str">
        <f>IFERROR(__xludf.DUMMYFUNCTION("""COMPUTED_VALUE"""),"Odesa")</f>
        <v>Odesa</v>
      </c>
      <c r="F514" s="5" t="str">
        <f>IFERROR(__xludf.DUMMYFUNCTION("""COMPUTED_VALUE"""),"Italy")</f>
        <v>Italy</v>
      </c>
      <c r="G514" s="5" t="str">
        <f>IFERROR(__xludf.DUMMYFUNCTION("""COMPUTED_VALUE"""),"Corn")</f>
        <v>Corn</v>
      </c>
      <c r="H514" s="6">
        <f>IFERROR(__xludf.DUMMYFUNCTION("""COMPUTED_VALUE"""),27000.0)</f>
        <v>27000</v>
      </c>
      <c r="I514" s="7">
        <f>IFERROR(__xludf.DUMMYFUNCTION("""COMPUTED_VALUE"""),44913.0)</f>
        <v>44913</v>
      </c>
      <c r="J514" s="7">
        <f>IFERROR(__xludf.DUMMYFUNCTION("""COMPUTED_VALUE"""),44921.0)</f>
        <v>44921</v>
      </c>
      <c r="K514" s="5" t="str">
        <f>IFERROR(__xludf.DUMMYFUNCTION("""COMPUTED_VALUE"""),"high-income")</f>
        <v>high-income</v>
      </c>
      <c r="L514" s="5" t="str">
        <f>IFERROR(__xludf.DUMMYFUNCTION("""COMPUTED_VALUE"""),"Barbados")</f>
        <v>Barbados</v>
      </c>
      <c r="M514" s="5" t="str">
        <f>IFERROR(__xludf.DUMMYFUNCTION("""COMPUTED_VALUE"""),"Europe &amp; Central Asia")</f>
        <v>Europe &amp; Central Asia</v>
      </c>
      <c r="N514" s="5" t="str">
        <f>IFERROR(__xludf.DUMMYFUNCTION("""COMPUTED_VALUE"""),"Western Europe and Others")</f>
        <v>Western Europe and Others</v>
      </c>
      <c r="O514" s="5" t="str">
        <f>IFERROR(__xludf.DUMMYFUNCTION("""COMPUTED_VALUE"""),"developed")</f>
        <v>developed</v>
      </c>
      <c r="P514" s="5"/>
      <c r="Q514" s="5"/>
    </row>
    <row r="515">
      <c r="A515" s="5" t="str">
        <f>IFERROR(__xludf.DUMMYFUNCTION("""COMPUTED_VALUE"""),"Outbound")</f>
        <v>Outbound</v>
      </c>
      <c r="B515" s="5">
        <f>IFERROR(__xludf.DUMMYFUNCTION("""COMPUTED_VALUE"""),562.0)</f>
        <v>562</v>
      </c>
      <c r="C515" s="5" t="str">
        <f>IFERROR(__xludf.DUMMYFUNCTION("""COMPUTED_VALUE"""),"BARBAROS HAYRETTIN VARDAL")</f>
        <v>BARBAROS HAYRETTIN VARDAL</v>
      </c>
      <c r="D515" s="5">
        <f>IFERROR(__xludf.DUMMYFUNCTION("""COMPUTED_VALUE"""),9282675.0)</f>
        <v>9282675</v>
      </c>
      <c r="E515" s="5" t="str">
        <f>IFERROR(__xludf.DUMMYFUNCTION("""COMPUTED_VALUE"""),"Odesa")</f>
        <v>Odesa</v>
      </c>
      <c r="F515" s="5" t="str">
        <f>IFERROR(__xludf.DUMMYFUNCTION("""COMPUTED_VALUE"""),"Italy")</f>
        <v>Italy</v>
      </c>
      <c r="G515" s="5" t="str">
        <f>IFERROR(__xludf.DUMMYFUNCTION("""COMPUTED_VALUE"""),"Sunflower oil")</f>
        <v>Sunflower oil</v>
      </c>
      <c r="H515" s="6">
        <f>IFERROR(__xludf.DUMMYFUNCTION("""COMPUTED_VALUE"""),5214.0)</f>
        <v>5214</v>
      </c>
      <c r="I515" s="7">
        <f>IFERROR(__xludf.DUMMYFUNCTION("""COMPUTED_VALUE"""),44913.0)</f>
        <v>44913</v>
      </c>
      <c r="J515" s="7">
        <f>IFERROR(__xludf.DUMMYFUNCTION("""COMPUTED_VALUE"""),44919.0)</f>
        <v>44919</v>
      </c>
      <c r="K515" s="5" t="str">
        <f>IFERROR(__xludf.DUMMYFUNCTION("""COMPUTED_VALUE"""),"high-income")</f>
        <v>high-income</v>
      </c>
      <c r="L515" s="5" t="str">
        <f>IFERROR(__xludf.DUMMYFUNCTION("""COMPUTED_VALUE"""),"Panama")</f>
        <v>Panama</v>
      </c>
      <c r="M515" s="5" t="str">
        <f>IFERROR(__xludf.DUMMYFUNCTION("""COMPUTED_VALUE"""),"Europe &amp; Central Asia")</f>
        <v>Europe &amp; Central Asia</v>
      </c>
      <c r="N515" s="5" t="str">
        <f>IFERROR(__xludf.DUMMYFUNCTION("""COMPUTED_VALUE"""),"Western Europe and Others")</f>
        <v>Western Europe and Others</v>
      </c>
      <c r="O515" s="5" t="str">
        <f>IFERROR(__xludf.DUMMYFUNCTION("""COMPUTED_VALUE"""),"developed")</f>
        <v>developed</v>
      </c>
      <c r="P515" s="5"/>
      <c r="Q515" s="5"/>
    </row>
    <row r="516">
      <c r="A516" s="5" t="str">
        <f>IFERROR(__xludf.DUMMYFUNCTION("""COMPUTED_VALUE"""),"Outbound")</f>
        <v>Outbound</v>
      </c>
      <c r="B516" s="5">
        <f>IFERROR(__xludf.DUMMYFUNCTION("""COMPUTED_VALUE"""),561.0)</f>
        <v>561</v>
      </c>
      <c r="C516" s="5" t="str">
        <f>IFERROR(__xludf.DUMMYFUNCTION("""COMPUTED_VALUE"""),"AK HALIMA")</f>
        <v>AK HALIMA</v>
      </c>
      <c r="D516" s="5">
        <f>IFERROR(__xludf.DUMMYFUNCTION("""COMPUTED_VALUE"""),9217826.0)</f>
        <v>9217826</v>
      </c>
      <c r="E516" s="5" t="str">
        <f>IFERROR(__xludf.DUMMYFUNCTION("""COMPUTED_VALUE"""),"Chornomorsk")</f>
        <v>Chornomorsk</v>
      </c>
      <c r="F516" s="5" t="str">
        <f>IFERROR(__xludf.DUMMYFUNCTION("""COMPUTED_VALUE"""),"Spain")</f>
        <v>Spain</v>
      </c>
      <c r="G516" s="5" t="str">
        <f>IFERROR(__xludf.DUMMYFUNCTION("""COMPUTED_VALUE"""),"Wheat")</f>
        <v>Wheat</v>
      </c>
      <c r="H516" s="6">
        <f>IFERROR(__xludf.DUMMYFUNCTION("""COMPUTED_VALUE"""),11100.0)</f>
        <v>11100</v>
      </c>
      <c r="I516" s="7">
        <f>IFERROR(__xludf.DUMMYFUNCTION("""COMPUTED_VALUE"""),44913.0)</f>
        <v>44913</v>
      </c>
      <c r="J516" s="7">
        <f>IFERROR(__xludf.DUMMYFUNCTION("""COMPUTED_VALUE"""),44920.0)</f>
        <v>44920</v>
      </c>
      <c r="K516" s="5" t="str">
        <f>IFERROR(__xludf.DUMMYFUNCTION("""COMPUTED_VALUE"""),"high-income")</f>
        <v>high-income</v>
      </c>
      <c r="L516" s="5" t="str">
        <f>IFERROR(__xludf.DUMMYFUNCTION("""COMPUTED_VALUE"""),"Barbados")</f>
        <v>Barbados</v>
      </c>
      <c r="M516" s="5" t="str">
        <f>IFERROR(__xludf.DUMMYFUNCTION("""COMPUTED_VALUE"""),"Europe &amp; Central Asia")</f>
        <v>Europe &amp; Central Asia</v>
      </c>
      <c r="N516" s="5" t="str">
        <f>IFERROR(__xludf.DUMMYFUNCTION("""COMPUTED_VALUE"""),"Western Europe and Others")</f>
        <v>Western Europe and Others</v>
      </c>
      <c r="O516" s="5" t="str">
        <f>IFERROR(__xludf.DUMMYFUNCTION("""COMPUTED_VALUE"""),"developed")</f>
        <v>developed</v>
      </c>
      <c r="P516" s="5"/>
      <c r="Q516" s="5"/>
    </row>
    <row r="517">
      <c r="A517" s="5" t="str">
        <f>IFERROR(__xludf.DUMMYFUNCTION("""COMPUTED_VALUE"""),"Outbound +")</f>
        <v>Outbound +</v>
      </c>
      <c r="B517" s="5">
        <f>IFERROR(__xludf.DUMMYFUNCTION("""COMPUTED_VALUE"""),561.0)</f>
        <v>561</v>
      </c>
      <c r="C517" s="5" t="str">
        <f>IFERROR(__xludf.DUMMYFUNCTION("""COMPUTED_VALUE"""),"AK HALIMA")</f>
        <v>AK HALIMA</v>
      </c>
      <c r="D517" s="5">
        <f>IFERROR(__xludf.DUMMYFUNCTION("""COMPUTED_VALUE"""),9217826.0)</f>
        <v>9217826</v>
      </c>
      <c r="E517" s="5" t="str">
        <f>IFERROR(__xludf.DUMMYFUNCTION("""COMPUTED_VALUE"""),"Chornomorsk")</f>
        <v>Chornomorsk</v>
      </c>
      <c r="F517" s="5" t="str">
        <f>IFERROR(__xludf.DUMMYFUNCTION("""COMPUTED_VALUE"""),"Spain")</f>
        <v>Spain</v>
      </c>
      <c r="G517" s="5" t="str">
        <f>IFERROR(__xludf.DUMMYFUNCTION("""COMPUTED_VALUE"""),"Corn")</f>
        <v>Corn</v>
      </c>
      <c r="H517" s="6">
        <f>IFERROR(__xludf.DUMMYFUNCTION("""COMPUTED_VALUE"""),11900.0)</f>
        <v>11900</v>
      </c>
      <c r="I517" s="7">
        <f>IFERROR(__xludf.DUMMYFUNCTION("""COMPUTED_VALUE"""),44913.0)</f>
        <v>44913</v>
      </c>
      <c r="J517" s="7">
        <f>IFERROR(__xludf.DUMMYFUNCTION("""COMPUTED_VALUE"""),44920.0)</f>
        <v>44920</v>
      </c>
      <c r="K517" s="5" t="str">
        <f>IFERROR(__xludf.DUMMYFUNCTION("""COMPUTED_VALUE"""),"high-income")</f>
        <v>high-income</v>
      </c>
      <c r="L517" s="5" t="str">
        <f>IFERROR(__xludf.DUMMYFUNCTION("""COMPUTED_VALUE"""),"Barbados")</f>
        <v>Barbados</v>
      </c>
      <c r="M517" s="5" t="str">
        <f>IFERROR(__xludf.DUMMYFUNCTION("""COMPUTED_VALUE"""),"Europe &amp; Central Asia")</f>
        <v>Europe &amp; Central Asia</v>
      </c>
      <c r="N517" s="5" t="str">
        <f>IFERROR(__xludf.DUMMYFUNCTION("""COMPUTED_VALUE"""),"Western Europe and Others")</f>
        <v>Western Europe and Others</v>
      </c>
      <c r="O517" s="5" t="str">
        <f>IFERROR(__xludf.DUMMYFUNCTION("""COMPUTED_VALUE"""),"developed")</f>
        <v>developed</v>
      </c>
      <c r="P517" s="5"/>
      <c r="Q517" s="5"/>
    </row>
    <row r="518">
      <c r="A518" s="5" t="str">
        <f>IFERROR(__xludf.DUMMYFUNCTION("""COMPUTED_VALUE"""),"Outbound")</f>
        <v>Outbound</v>
      </c>
      <c r="B518" s="5">
        <f>IFERROR(__xludf.DUMMYFUNCTION("""COMPUTED_VALUE"""),560.0)</f>
        <v>560</v>
      </c>
      <c r="C518" s="5" t="str">
        <f>IFERROR(__xludf.DUMMYFUNCTION("""COMPUTED_VALUE"""),"NYMPHI")</f>
        <v>NYMPHI</v>
      </c>
      <c r="D518" s="5">
        <f>IFERROR(__xludf.DUMMYFUNCTION("""COMPUTED_VALUE"""),9615030.0)</f>
        <v>9615030</v>
      </c>
      <c r="E518" s="5" t="str">
        <f>IFERROR(__xludf.DUMMYFUNCTION("""COMPUTED_VALUE"""),"Odesa")</f>
        <v>Odesa</v>
      </c>
      <c r="F518" s="5" t="str">
        <f>IFERROR(__xludf.DUMMYFUNCTION("""COMPUTED_VALUE"""),"Tunisia")</f>
        <v>Tunisia</v>
      </c>
      <c r="G518" s="5" t="str">
        <f>IFERROR(__xludf.DUMMYFUNCTION("""COMPUTED_VALUE"""),"Corn")</f>
        <v>Corn</v>
      </c>
      <c r="H518" s="6">
        <f>IFERROR(__xludf.DUMMYFUNCTION("""COMPUTED_VALUE"""),25700.0)</f>
        <v>25700</v>
      </c>
      <c r="I518" s="7">
        <f>IFERROR(__xludf.DUMMYFUNCTION("""COMPUTED_VALUE"""),44912.0)</f>
        <v>44912</v>
      </c>
      <c r="J518" s="7">
        <f>IFERROR(__xludf.DUMMYFUNCTION("""COMPUTED_VALUE"""),44923.0)</f>
        <v>44923</v>
      </c>
      <c r="K518" s="5" t="str">
        <f>IFERROR(__xludf.DUMMYFUNCTION("""COMPUTED_VALUE"""),"lower-middle income")</f>
        <v>lower-middle income</v>
      </c>
      <c r="L518" s="5" t="str">
        <f>IFERROR(__xludf.DUMMYFUNCTION("""COMPUTED_VALUE"""),"Panama")</f>
        <v>Panama</v>
      </c>
      <c r="M518" s="5" t="str">
        <f>IFERROR(__xludf.DUMMYFUNCTION("""COMPUTED_VALUE"""),"Middle East &amp; North Africa")</f>
        <v>Middle East &amp; North Africa</v>
      </c>
      <c r="N518" s="5" t="str">
        <f>IFERROR(__xludf.DUMMYFUNCTION("""COMPUTED_VALUE"""),"Africa")</f>
        <v>Africa</v>
      </c>
      <c r="O518" s="5" t="str">
        <f>IFERROR(__xludf.DUMMYFUNCTION("""COMPUTED_VALUE"""),"developing")</f>
        <v>developing</v>
      </c>
      <c r="P518" s="5"/>
      <c r="Q518" s="5"/>
    </row>
    <row r="519">
      <c r="A519" s="5" t="str">
        <f>IFERROR(__xludf.DUMMYFUNCTION("""COMPUTED_VALUE"""),"Outbound")</f>
        <v>Outbound</v>
      </c>
      <c r="B519" s="5">
        <f>IFERROR(__xludf.DUMMYFUNCTION("""COMPUTED_VALUE"""),559.0)</f>
        <v>559</v>
      </c>
      <c r="C519" s="5" t="str">
        <f>IFERROR(__xludf.DUMMYFUNCTION("""COMPUTED_VALUE"""),"KEREM")</f>
        <v>KEREM</v>
      </c>
      <c r="D519" s="5">
        <f>IFERROR(__xludf.DUMMYFUNCTION("""COMPUTED_VALUE"""),9126429.0)</f>
        <v>9126429</v>
      </c>
      <c r="E519" s="5" t="str">
        <f>IFERROR(__xludf.DUMMYFUNCTION("""COMPUTED_VALUE"""),"Chornomorsk")</f>
        <v>Chornomorsk</v>
      </c>
      <c r="F519" s="5" t="str">
        <f>IFERROR(__xludf.DUMMYFUNCTION("""COMPUTED_VALUE"""),"Türkiye")</f>
        <v>Türkiye</v>
      </c>
      <c r="G519" s="5" t="str">
        <f>IFERROR(__xludf.DUMMYFUNCTION("""COMPUTED_VALUE"""),"Wheat")</f>
        <v>Wheat</v>
      </c>
      <c r="H519" s="6">
        <f>IFERROR(__xludf.DUMMYFUNCTION("""COMPUTED_VALUE"""),29000.0)</f>
        <v>29000</v>
      </c>
      <c r="I519" s="7">
        <f>IFERROR(__xludf.DUMMYFUNCTION("""COMPUTED_VALUE"""),44912.0)</f>
        <v>44912</v>
      </c>
      <c r="J519" s="7">
        <f>IFERROR(__xludf.DUMMYFUNCTION("""COMPUTED_VALUE"""),44922.0)</f>
        <v>44922</v>
      </c>
      <c r="K519" s="5" t="str">
        <f>IFERROR(__xludf.DUMMYFUNCTION("""COMPUTED_VALUE"""),"upper-middle-income")</f>
        <v>upper-middle-income</v>
      </c>
      <c r="L519" s="5" t="str">
        <f>IFERROR(__xludf.DUMMYFUNCTION("""COMPUTED_VALUE"""),"Malta")</f>
        <v>Malta</v>
      </c>
      <c r="M519" s="5" t="str">
        <f>IFERROR(__xludf.DUMMYFUNCTION("""COMPUTED_VALUE"""),"Europe &amp; Central Asia")</f>
        <v>Europe &amp; Central Asia</v>
      </c>
      <c r="N519" s="5" t="str">
        <f>IFERROR(__xludf.DUMMYFUNCTION("""COMPUTED_VALUE"""),"Asia-Pacific")</f>
        <v>Asia-Pacific</v>
      </c>
      <c r="O519" s="5" t="str">
        <f>IFERROR(__xludf.DUMMYFUNCTION("""COMPUTED_VALUE"""),"developing")</f>
        <v>developing</v>
      </c>
      <c r="P519" s="5"/>
      <c r="Q519" s="5"/>
    </row>
    <row r="520">
      <c r="A520" s="5" t="str">
        <f>IFERROR(__xludf.DUMMYFUNCTION("""COMPUTED_VALUE"""),"Outbound")</f>
        <v>Outbound</v>
      </c>
      <c r="B520" s="5">
        <f>IFERROR(__xludf.DUMMYFUNCTION("""COMPUTED_VALUE"""),558.0)</f>
        <v>558</v>
      </c>
      <c r="C520" s="5" t="str">
        <f>IFERROR(__xludf.DUMMYFUNCTION("""COMPUTED_VALUE"""),"GULMAR")</f>
        <v>GULMAR</v>
      </c>
      <c r="D520" s="5">
        <f>IFERROR(__xludf.DUMMYFUNCTION("""COMPUTED_VALUE"""),9146962.0)</f>
        <v>9146962</v>
      </c>
      <c r="E520" s="5" t="str">
        <f>IFERROR(__xludf.DUMMYFUNCTION("""COMPUTED_VALUE"""),"Odesa")</f>
        <v>Odesa</v>
      </c>
      <c r="F520" s="5" t="str">
        <f>IFERROR(__xludf.DUMMYFUNCTION("""COMPUTED_VALUE"""),"Spain")</f>
        <v>Spain</v>
      </c>
      <c r="G520" s="5" t="str">
        <f>IFERROR(__xludf.DUMMYFUNCTION("""COMPUTED_VALUE"""),"Corn")</f>
        <v>Corn</v>
      </c>
      <c r="H520" s="6">
        <f>IFERROR(__xludf.DUMMYFUNCTION("""COMPUTED_VALUE"""),42000.0)</f>
        <v>42000</v>
      </c>
      <c r="I520" s="7">
        <f>IFERROR(__xludf.DUMMYFUNCTION("""COMPUTED_VALUE"""),44912.0)</f>
        <v>44912</v>
      </c>
      <c r="J520" s="7">
        <f>IFERROR(__xludf.DUMMYFUNCTION("""COMPUTED_VALUE"""),44918.0)</f>
        <v>44918</v>
      </c>
      <c r="K520" s="5" t="str">
        <f>IFERROR(__xludf.DUMMYFUNCTION("""COMPUTED_VALUE"""),"high-income")</f>
        <v>high-income</v>
      </c>
      <c r="L520" s="5" t="str">
        <f>IFERROR(__xludf.DUMMYFUNCTION("""COMPUTED_VALUE"""),"Türkiye")</f>
        <v>Türkiye</v>
      </c>
      <c r="M520" s="5" t="str">
        <f>IFERROR(__xludf.DUMMYFUNCTION("""COMPUTED_VALUE"""),"Europe &amp; Central Asia")</f>
        <v>Europe &amp; Central Asia</v>
      </c>
      <c r="N520" s="5" t="str">
        <f>IFERROR(__xludf.DUMMYFUNCTION("""COMPUTED_VALUE"""),"Western Europe and Others")</f>
        <v>Western Europe and Others</v>
      </c>
      <c r="O520" s="5" t="str">
        <f>IFERROR(__xludf.DUMMYFUNCTION("""COMPUTED_VALUE"""),"developed")</f>
        <v>developed</v>
      </c>
      <c r="P520" s="5"/>
      <c r="Q520" s="5"/>
    </row>
    <row r="521">
      <c r="A521" s="5" t="str">
        <f>IFERROR(__xludf.DUMMYFUNCTION("""COMPUTED_VALUE"""),"Outbound")</f>
        <v>Outbound</v>
      </c>
      <c r="B521" s="5">
        <f>IFERROR(__xludf.DUMMYFUNCTION("""COMPUTED_VALUE"""),557.0)</f>
        <v>557</v>
      </c>
      <c r="C521" s="5" t="str">
        <f>IFERROR(__xludf.DUMMYFUNCTION("""COMPUTED_VALUE"""),"FALCON S")</f>
        <v>FALCON S</v>
      </c>
      <c r="D521" s="5">
        <f>IFERROR(__xludf.DUMMYFUNCTION("""COMPUTED_VALUE"""),9329423.0)</f>
        <v>9329423</v>
      </c>
      <c r="E521" s="5" t="str">
        <f>IFERROR(__xludf.DUMMYFUNCTION("""COMPUTED_VALUE"""),"Yuzhny/Pivdennyi")</f>
        <v>Yuzhny/Pivdennyi</v>
      </c>
      <c r="F521" s="5" t="str">
        <f>IFERROR(__xludf.DUMMYFUNCTION("""COMPUTED_VALUE"""),"Türkiye")</f>
        <v>Türkiye</v>
      </c>
      <c r="G521" s="5" t="str">
        <f>IFERROR(__xludf.DUMMYFUNCTION("""COMPUTED_VALUE"""),"Sunflower seed")</f>
        <v>Sunflower seed</v>
      </c>
      <c r="H521" s="6">
        <f>IFERROR(__xludf.DUMMYFUNCTION("""COMPUTED_VALUE"""),19000.0)</f>
        <v>19000</v>
      </c>
      <c r="I521" s="7">
        <f>IFERROR(__xludf.DUMMYFUNCTION("""COMPUTED_VALUE"""),44912.0)</f>
        <v>44912</v>
      </c>
      <c r="J521" s="7">
        <f>IFERROR(__xludf.DUMMYFUNCTION("""COMPUTED_VALUE"""),44917.0)</f>
        <v>44917</v>
      </c>
      <c r="K521" s="5" t="str">
        <f>IFERROR(__xludf.DUMMYFUNCTION("""COMPUTED_VALUE"""),"upper-middle-income")</f>
        <v>upper-middle-income</v>
      </c>
      <c r="L521" s="5" t="str">
        <f>IFERROR(__xludf.DUMMYFUNCTION("""COMPUTED_VALUE"""),"Liberia")</f>
        <v>Liberia</v>
      </c>
      <c r="M521" s="5" t="str">
        <f>IFERROR(__xludf.DUMMYFUNCTION("""COMPUTED_VALUE"""),"Europe &amp; Central Asia")</f>
        <v>Europe &amp; Central Asia</v>
      </c>
      <c r="N521" s="5" t="str">
        <f>IFERROR(__xludf.DUMMYFUNCTION("""COMPUTED_VALUE"""),"Asia-Pacific")</f>
        <v>Asia-Pacific</v>
      </c>
      <c r="O521" s="5" t="str">
        <f>IFERROR(__xludf.DUMMYFUNCTION("""COMPUTED_VALUE"""),"developing")</f>
        <v>developing</v>
      </c>
      <c r="P521" s="5"/>
      <c r="Q521" s="5"/>
    </row>
    <row r="522">
      <c r="A522" s="5" t="str">
        <f>IFERROR(__xludf.DUMMYFUNCTION("""COMPUTED_VALUE"""),"Outbound")</f>
        <v>Outbound</v>
      </c>
      <c r="B522" s="5">
        <f>IFERROR(__xludf.DUMMYFUNCTION("""COMPUTED_VALUE"""),556.0)</f>
        <v>556</v>
      </c>
      <c r="C522" s="5" t="str">
        <f>IFERROR(__xludf.DUMMYFUNCTION("""COMPUTED_VALUE"""),"ALMERAY")</f>
        <v>ALMERAY</v>
      </c>
      <c r="D522" s="5">
        <f>IFERROR(__xludf.DUMMYFUNCTION("""COMPUTED_VALUE"""),9300910.0)</f>
        <v>9300910</v>
      </c>
      <c r="E522" s="5" t="str">
        <f>IFERROR(__xludf.DUMMYFUNCTION("""COMPUTED_VALUE"""),"Odesa")</f>
        <v>Odesa</v>
      </c>
      <c r="F522" s="5" t="str">
        <f>IFERROR(__xludf.DUMMYFUNCTION("""COMPUTED_VALUE"""),"Libya")</f>
        <v>Libya</v>
      </c>
      <c r="G522" s="5" t="str">
        <f>IFERROR(__xludf.DUMMYFUNCTION("""COMPUTED_VALUE"""),"Corn")</f>
        <v>Corn</v>
      </c>
      <c r="H522" s="6">
        <f>IFERROR(__xludf.DUMMYFUNCTION("""COMPUTED_VALUE"""),32400.0)</f>
        <v>32400</v>
      </c>
      <c r="I522" s="7">
        <f>IFERROR(__xludf.DUMMYFUNCTION("""COMPUTED_VALUE"""),44911.0)</f>
        <v>44911</v>
      </c>
      <c r="J522" s="7">
        <f>IFERROR(__xludf.DUMMYFUNCTION("""COMPUTED_VALUE"""),44917.0)</f>
        <v>44917</v>
      </c>
      <c r="K522" s="5" t="str">
        <f>IFERROR(__xludf.DUMMYFUNCTION("""COMPUTED_VALUE"""),"upper-middle-income")</f>
        <v>upper-middle-income</v>
      </c>
      <c r="L522" s="5" t="str">
        <f>IFERROR(__xludf.DUMMYFUNCTION("""COMPUTED_VALUE"""),"St. Vincent and the Grenadines")</f>
        <v>St. Vincent and the Grenadines</v>
      </c>
      <c r="M522" s="5" t="str">
        <f>IFERROR(__xludf.DUMMYFUNCTION("""COMPUTED_VALUE"""),"Middle East &amp; North Africa")</f>
        <v>Middle East &amp; North Africa</v>
      </c>
      <c r="N522" s="5" t="str">
        <f>IFERROR(__xludf.DUMMYFUNCTION("""COMPUTED_VALUE"""),"Africa")</f>
        <v>Africa</v>
      </c>
      <c r="O522" s="5" t="str">
        <f>IFERROR(__xludf.DUMMYFUNCTION("""COMPUTED_VALUE"""),"developing")</f>
        <v>developing</v>
      </c>
      <c r="P522" s="5"/>
      <c r="Q522" s="5"/>
    </row>
    <row r="523">
      <c r="A523" s="5" t="str">
        <f>IFERROR(__xludf.DUMMYFUNCTION("""COMPUTED_VALUE"""),"Outbound")</f>
        <v>Outbound</v>
      </c>
      <c r="B523" s="5">
        <f>IFERROR(__xludf.DUMMYFUNCTION("""COMPUTED_VALUE"""),555.0)</f>
        <v>555</v>
      </c>
      <c r="C523" s="5" t="str">
        <f>IFERROR(__xludf.DUMMYFUNCTION("""COMPUTED_VALUE"""),"STAR EMERALD")</f>
        <v>STAR EMERALD</v>
      </c>
      <c r="D523" s="5">
        <f>IFERROR(__xludf.DUMMYFUNCTION("""COMPUTED_VALUE"""),9827384.0)</f>
        <v>9827384</v>
      </c>
      <c r="E523" s="5" t="str">
        <f>IFERROR(__xludf.DUMMYFUNCTION("""COMPUTED_VALUE"""),"Yuzhny/Pivdennyi")</f>
        <v>Yuzhny/Pivdennyi</v>
      </c>
      <c r="F523" s="5" t="str">
        <f>IFERROR(__xludf.DUMMYFUNCTION("""COMPUTED_VALUE"""),"Indonesia")</f>
        <v>Indonesia</v>
      </c>
      <c r="G523" s="5" t="str">
        <f>IFERROR(__xludf.DUMMYFUNCTION("""COMPUTED_VALUE"""),"Wheat")</f>
        <v>Wheat</v>
      </c>
      <c r="H523" s="6">
        <f>IFERROR(__xludf.DUMMYFUNCTION("""COMPUTED_VALUE"""),71400.0)</f>
        <v>71400</v>
      </c>
      <c r="I523" s="7">
        <f>IFERROR(__xludf.DUMMYFUNCTION("""COMPUTED_VALUE"""),44910.0)</f>
        <v>44910</v>
      </c>
      <c r="J523" s="7">
        <f>IFERROR(__xludf.DUMMYFUNCTION("""COMPUTED_VALUE"""),44923.0)</f>
        <v>44923</v>
      </c>
      <c r="K523" s="5" t="str">
        <f>IFERROR(__xludf.DUMMYFUNCTION("""COMPUTED_VALUE"""),"lower-middle income")</f>
        <v>lower-middle income</v>
      </c>
      <c r="L523" s="5" t="str">
        <f>IFERROR(__xludf.DUMMYFUNCTION("""COMPUTED_VALUE"""),"Bahamas")</f>
        <v>Bahamas</v>
      </c>
      <c r="M523" s="5" t="str">
        <f>IFERROR(__xludf.DUMMYFUNCTION("""COMPUTED_VALUE"""),"East Asia &amp; Pacific")</f>
        <v>East Asia &amp; Pacific</v>
      </c>
      <c r="N523" s="5" t="str">
        <f>IFERROR(__xludf.DUMMYFUNCTION("""COMPUTED_VALUE"""),"Asia-Pacific")</f>
        <v>Asia-Pacific</v>
      </c>
      <c r="O523" s="5" t="str">
        <f>IFERROR(__xludf.DUMMYFUNCTION("""COMPUTED_VALUE"""),"developing")</f>
        <v>developing</v>
      </c>
      <c r="P523" s="5"/>
      <c r="Q523" s="5"/>
    </row>
    <row r="524">
      <c r="A524" s="5" t="str">
        <f>IFERROR(__xludf.DUMMYFUNCTION("""COMPUTED_VALUE"""),"Outbound")</f>
        <v>Outbound</v>
      </c>
      <c r="B524" s="5">
        <f>IFERROR(__xludf.DUMMYFUNCTION("""COMPUTED_VALUE"""),554.0)</f>
        <v>554</v>
      </c>
      <c r="C524" s="5" t="str">
        <f>IFERROR(__xludf.DUMMYFUNCTION("""COMPUTED_VALUE"""),"YAF S")</f>
        <v>YAF S</v>
      </c>
      <c r="D524" s="5">
        <f>IFERROR(__xludf.DUMMYFUNCTION("""COMPUTED_VALUE"""),9437787.0)</f>
        <v>9437787</v>
      </c>
      <c r="E524" s="5" t="str">
        <f>IFERROR(__xludf.DUMMYFUNCTION("""COMPUTED_VALUE"""),"Yuzhny/Pivdennyi")</f>
        <v>Yuzhny/Pivdennyi</v>
      </c>
      <c r="F524" s="5" t="str">
        <f>IFERROR(__xludf.DUMMYFUNCTION("""COMPUTED_VALUE"""),"Türkiye")</f>
        <v>Türkiye</v>
      </c>
      <c r="G524" s="5" t="str">
        <f>IFERROR(__xludf.DUMMYFUNCTION("""COMPUTED_VALUE"""),"Wheat")</f>
        <v>Wheat</v>
      </c>
      <c r="H524" s="6">
        <f>IFERROR(__xludf.DUMMYFUNCTION("""COMPUTED_VALUE"""),5500.0)</f>
        <v>5500</v>
      </c>
      <c r="I524" s="7">
        <f>IFERROR(__xludf.DUMMYFUNCTION("""COMPUTED_VALUE"""),44909.0)</f>
        <v>44909</v>
      </c>
      <c r="J524" s="7">
        <f>IFERROR(__xludf.DUMMYFUNCTION("""COMPUTED_VALUE"""),44921.0)</f>
        <v>44921</v>
      </c>
      <c r="K524" s="5" t="str">
        <f>IFERROR(__xludf.DUMMYFUNCTION("""COMPUTED_VALUE"""),"upper-middle-income")</f>
        <v>upper-middle-income</v>
      </c>
      <c r="L524" s="5" t="str">
        <f>IFERROR(__xludf.DUMMYFUNCTION("""COMPUTED_VALUE"""),"Panama")</f>
        <v>Panama</v>
      </c>
      <c r="M524" s="5" t="str">
        <f>IFERROR(__xludf.DUMMYFUNCTION("""COMPUTED_VALUE"""),"Europe &amp; Central Asia")</f>
        <v>Europe &amp; Central Asia</v>
      </c>
      <c r="N524" s="5" t="str">
        <f>IFERROR(__xludf.DUMMYFUNCTION("""COMPUTED_VALUE"""),"Asia-Pacific")</f>
        <v>Asia-Pacific</v>
      </c>
      <c r="O524" s="5" t="str">
        <f>IFERROR(__xludf.DUMMYFUNCTION("""COMPUTED_VALUE"""),"developing")</f>
        <v>developing</v>
      </c>
      <c r="P524" s="5"/>
      <c r="Q524" s="5"/>
    </row>
    <row r="525">
      <c r="A525" s="5" t="str">
        <f>IFERROR(__xludf.DUMMYFUNCTION("""COMPUTED_VALUE"""),"Outbound")</f>
        <v>Outbound</v>
      </c>
      <c r="B525" s="5">
        <f>IFERROR(__xludf.DUMMYFUNCTION("""COMPUTED_VALUE"""),553.0)</f>
        <v>553</v>
      </c>
      <c r="C525" s="5" t="str">
        <f>IFERROR(__xludf.DUMMYFUNCTION("""COMPUTED_VALUE"""),"SELINA II")</f>
        <v>SELINA II</v>
      </c>
      <c r="D525" s="5">
        <f>IFERROR(__xludf.DUMMYFUNCTION("""COMPUTED_VALUE"""),9208112.0)</f>
        <v>9208112</v>
      </c>
      <c r="E525" s="5" t="str">
        <f>IFERROR(__xludf.DUMMYFUNCTION("""COMPUTED_VALUE"""),"Chornomorsk")</f>
        <v>Chornomorsk</v>
      </c>
      <c r="F525" s="5" t="str">
        <f>IFERROR(__xludf.DUMMYFUNCTION("""COMPUTED_VALUE"""),"India")</f>
        <v>India</v>
      </c>
      <c r="G525" s="5" t="str">
        <f>IFERROR(__xludf.DUMMYFUNCTION("""COMPUTED_VALUE"""),"Sunflower oil")</f>
        <v>Sunflower oil</v>
      </c>
      <c r="H525" s="6">
        <f>IFERROR(__xludf.DUMMYFUNCTION("""COMPUTED_VALUE"""),35000.0)</f>
        <v>35000</v>
      </c>
      <c r="I525" s="7">
        <f>IFERROR(__xludf.DUMMYFUNCTION("""COMPUTED_VALUE"""),44909.0)</f>
        <v>44909</v>
      </c>
      <c r="J525" s="7">
        <f>IFERROR(__xludf.DUMMYFUNCTION("""COMPUTED_VALUE"""),44917.0)</f>
        <v>44917</v>
      </c>
      <c r="K525" s="5" t="str">
        <f>IFERROR(__xludf.DUMMYFUNCTION("""COMPUTED_VALUE"""),"lower-middle income")</f>
        <v>lower-middle income</v>
      </c>
      <c r="L525" s="5" t="str">
        <f>IFERROR(__xludf.DUMMYFUNCTION("""COMPUTED_VALUE"""),"Liberia")</f>
        <v>Liberia</v>
      </c>
      <c r="M525" s="5" t="str">
        <f>IFERROR(__xludf.DUMMYFUNCTION("""COMPUTED_VALUE"""),"South Asia")</f>
        <v>South Asia</v>
      </c>
      <c r="N525" s="5" t="str">
        <f>IFERROR(__xludf.DUMMYFUNCTION("""COMPUTED_VALUE"""),"Asia-Pacific")</f>
        <v>Asia-Pacific</v>
      </c>
      <c r="O525" s="5" t="str">
        <f>IFERROR(__xludf.DUMMYFUNCTION("""COMPUTED_VALUE"""),"developing")</f>
        <v>developing</v>
      </c>
      <c r="P525" s="5"/>
      <c r="Q525" s="5"/>
    </row>
    <row r="526">
      <c r="A526" s="5" t="str">
        <f>IFERROR(__xludf.DUMMYFUNCTION("""COMPUTED_VALUE"""),"Outbound")</f>
        <v>Outbound</v>
      </c>
      <c r="B526" s="5">
        <f>IFERROR(__xludf.DUMMYFUNCTION("""COMPUTED_VALUE"""),552.0)</f>
        <v>552</v>
      </c>
      <c r="C526" s="5" t="str">
        <f>IFERROR(__xludf.DUMMYFUNCTION("""COMPUTED_VALUE"""),"MED PACIFIC")</f>
        <v>MED PACIFIC</v>
      </c>
      <c r="D526" s="5">
        <f>IFERROR(__xludf.DUMMYFUNCTION("""COMPUTED_VALUE"""),9461934.0)</f>
        <v>9461934</v>
      </c>
      <c r="E526" s="5" t="str">
        <f>IFERROR(__xludf.DUMMYFUNCTION("""COMPUTED_VALUE"""),"Chornomorsk")</f>
        <v>Chornomorsk</v>
      </c>
      <c r="F526" s="5" t="str">
        <f>IFERROR(__xludf.DUMMYFUNCTION("""COMPUTED_VALUE"""),"India")</f>
        <v>India</v>
      </c>
      <c r="G526" s="5" t="str">
        <f>IFERROR(__xludf.DUMMYFUNCTION("""COMPUTED_VALUE"""),"Sunflower oil")</f>
        <v>Sunflower oil</v>
      </c>
      <c r="H526" s="6">
        <f>IFERROR(__xludf.DUMMYFUNCTION("""COMPUTED_VALUE"""),19000.0)</f>
        <v>19000</v>
      </c>
      <c r="I526" s="7">
        <f>IFERROR(__xludf.DUMMYFUNCTION("""COMPUTED_VALUE"""),44909.0)</f>
        <v>44909</v>
      </c>
      <c r="J526" s="7">
        <f>IFERROR(__xludf.DUMMYFUNCTION("""COMPUTED_VALUE"""),44916.0)</f>
        <v>44916</v>
      </c>
      <c r="K526" s="5" t="str">
        <f>IFERROR(__xludf.DUMMYFUNCTION("""COMPUTED_VALUE"""),"lower-middle income")</f>
        <v>lower-middle income</v>
      </c>
      <c r="L526" s="5" t="str">
        <f>IFERROR(__xludf.DUMMYFUNCTION("""COMPUTED_VALUE"""),"Malta")</f>
        <v>Malta</v>
      </c>
      <c r="M526" s="5" t="str">
        <f>IFERROR(__xludf.DUMMYFUNCTION("""COMPUTED_VALUE"""),"South Asia")</f>
        <v>South Asia</v>
      </c>
      <c r="N526" s="5" t="str">
        <f>IFERROR(__xludf.DUMMYFUNCTION("""COMPUTED_VALUE"""),"Asia-Pacific")</f>
        <v>Asia-Pacific</v>
      </c>
      <c r="O526" s="5" t="str">
        <f>IFERROR(__xludf.DUMMYFUNCTION("""COMPUTED_VALUE"""),"developing")</f>
        <v>developing</v>
      </c>
      <c r="P526" s="5"/>
      <c r="Q526" s="5"/>
    </row>
    <row r="527">
      <c r="A527" s="5" t="str">
        <f>IFERROR(__xludf.DUMMYFUNCTION("""COMPUTED_VALUE"""),"Outbound")</f>
        <v>Outbound</v>
      </c>
      <c r="B527" s="5">
        <f>IFERROR(__xludf.DUMMYFUNCTION("""COMPUTED_VALUE"""),551.0)</f>
        <v>551</v>
      </c>
      <c r="C527" s="5" t="str">
        <f>IFERROR(__xludf.DUMMYFUNCTION("""COMPUTED_VALUE"""),"ADNAN TORLAK")</f>
        <v>ADNAN TORLAK</v>
      </c>
      <c r="D527" s="5">
        <f>IFERROR(__xludf.DUMMYFUNCTION("""COMPUTED_VALUE"""),9243253.0)</f>
        <v>9243253</v>
      </c>
      <c r="E527" s="5" t="str">
        <f>IFERROR(__xludf.DUMMYFUNCTION("""COMPUTED_VALUE"""),"Chornomorsk")</f>
        <v>Chornomorsk</v>
      </c>
      <c r="F527" s="5" t="str">
        <f>IFERROR(__xludf.DUMMYFUNCTION("""COMPUTED_VALUE"""),"Türkiye")</f>
        <v>Türkiye</v>
      </c>
      <c r="G527" s="5" t="str">
        <f>IFERROR(__xludf.DUMMYFUNCTION("""COMPUTED_VALUE"""),"Sunflower seed")</f>
        <v>Sunflower seed</v>
      </c>
      <c r="H527" s="6">
        <f>IFERROR(__xludf.DUMMYFUNCTION("""COMPUTED_VALUE"""),10000.0)</f>
        <v>10000</v>
      </c>
      <c r="I527" s="7">
        <f>IFERROR(__xludf.DUMMYFUNCTION("""COMPUTED_VALUE"""),44909.0)</f>
        <v>44909</v>
      </c>
      <c r="J527" s="7">
        <f>IFERROR(__xludf.DUMMYFUNCTION("""COMPUTED_VALUE"""),44917.0)</f>
        <v>44917</v>
      </c>
      <c r="K527" s="5" t="str">
        <f>IFERROR(__xludf.DUMMYFUNCTION("""COMPUTED_VALUE"""),"upper-middle-income")</f>
        <v>upper-middle-income</v>
      </c>
      <c r="L527" s="5" t="str">
        <f>IFERROR(__xludf.DUMMYFUNCTION("""COMPUTED_VALUE"""),"Liberia")</f>
        <v>Liberia</v>
      </c>
      <c r="M527" s="5" t="str">
        <f>IFERROR(__xludf.DUMMYFUNCTION("""COMPUTED_VALUE"""),"Europe &amp; Central Asia")</f>
        <v>Europe &amp; Central Asia</v>
      </c>
      <c r="N527" s="5" t="str">
        <f>IFERROR(__xludf.DUMMYFUNCTION("""COMPUTED_VALUE"""),"Asia-Pacific")</f>
        <v>Asia-Pacific</v>
      </c>
      <c r="O527" s="5" t="str">
        <f>IFERROR(__xludf.DUMMYFUNCTION("""COMPUTED_VALUE"""),"developing")</f>
        <v>developing</v>
      </c>
      <c r="P527" s="5"/>
      <c r="Q527" s="5"/>
    </row>
    <row r="528">
      <c r="A528" s="5" t="str">
        <f>IFERROR(__xludf.DUMMYFUNCTION("""COMPUTED_VALUE"""),"Outbound")</f>
        <v>Outbound</v>
      </c>
      <c r="B528" s="5">
        <f>IFERROR(__xludf.DUMMYFUNCTION("""COMPUTED_VALUE"""),550.0)</f>
        <v>550</v>
      </c>
      <c r="C528" s="5" t="str">
        <f>IFERROR(__xludf.DUMMYFUNCTION("""COMPUTED_VALUE"""),"SAKARYA")</f>
        <v>SAKARYA</v>
      </c>
      <c r="D528" s="5">
        <f>IFERROR(__xludf.DUMMYFUNCTION("""COMPUTED_VALUE"""),9257199.0)</f>
        <v>9257199</v>
      </c>
      <c r="E528" s="5" t="str">
        <f>IFERROR(__xludf.DUMMYFUNCTION("""COMPUTED_VALUE"""),"Yuzhny/Pivdennyi")</f>
        <v>Yuzhny/Pivdennyi</v>
      </c>
      <c r="F528" s="5" t="str">
        <f>IFERROR(__xludf.DUMMYFUNCTION("""COMPUTED_VALUE"""),"Türkiye")</f>
        <v>Türkiye</v>
      </c>
      <c r="G528" s="5" t="str">
        <f>IFERROR(__xludf.DUMMYFUNCTION("""COMPUTED_VALUE"""),"Wheat")</f>
        <v>Wheat</v>
      </c>
      <c r="H528" s="6">
        <f>IFERROR(__xludf.DUMMYFUNCTION("""COMPUTED_VALUE"""),29000.0)</f>
        <v>29000</v>
      </c>
      <c r="I528" s="7">
        <f>IFERROR(__xludf.DUMMYFUNCTION("""COMPUTED_VALUE"""),44908.0)</f>
        <v>44908</v>
      </c>
      <c r="J528" s="7">
        <f>IFERROR(__xludf.DUMMYFUNCTION("""COMPUTED_VALUE"""),44913.0)</f>
        <v>44913</v>
      </c>
      <c r="K528" s="5" t="str">
        <f>IFERROR(__xludf.DUMMYFUNCTION("""COMPUTED_VALUE"""),"upper-middle-income")</f>
        <v>upper-middle-income</v>
      </c>
      <c r="L528" s="5" t="str">
        <f>IFERROR(__xludf.DUMMYFUNCTION("""COMPUTED_VALUE"""),"Türkiye")</f>
        <v>Türkiye</v>
      </c>
      <c r="M528" s="5" t="str">
        <f>IFERROR(__xludf.DUMMYFUNCTION("""COMPUTED_VALUE"""),"Europe &amp; Central Asia")</f>
        <v>Europe &amp; Central Asia</v>
      </c>
      <c r="N528" s="5" t="str">
        <f>IFERROR(__xludf.DUMMYFUNCTION("""COMPUTED_VALUE"""),"Asia-Pacific")</f>
        <v>Asia-Pacific</v>
      </c>
      <c r="O528" s="5" t="str">
        <f>IFERROR(__xludf.DUMMYFUNCTION("""COMPUTED_VALUE"""),"developing")</f>
        <v>developing</v>
      </c>
      <c r="P528" s="5"/>
      <c r="Q528" s="5"/>
    </row>
    <row r="529">
      <c r="A529" s="5" t="str">
        <f>IFERROR(__xludf.DUMMYFUNCTION("""COMPUTED_VALUE"""),"Outbound")</f>
        <v>Outbound</v>
      </c>
      <c r="B529" s="5">
        <f>IFERROR(__xludf.DUMMYFUNCTION("""COMPUTED_VALUE"""),549.0)</f>
        <v>549</v>
      </c>
      <c r="C529" s="5" t="str">
        <f>IFERROR(__xludf.DUMMYFUNCTION("""COMPUTED_VALUE"""),"RIDER")</f>
        <v>RIDER</v>
      </c>
      <c r="D529" s="5">
        <f>IFERROR(__xludf.DUMMYFUNCTION("""COMPUTED_VALUE"""),9017628.0)</f>
        <v>9017628</v>
      </c>
      <c r="E529" s="5" t="str">
        <f>IFERROR(__xludf.DUMMYFUNCTION("""COMPUTED_VALUE"""),"Odesa")</f>
        <v>Odesa</v>
      </c>
      <c r="F529" s="5" t="str">
        <f>IFERROR(__xludf.DUMMYFUNCTION("""COMPUTED_VALUE"""),"Italy")</f>
        <v>Italy</v>
      </c>
      <c r="G529" s="5" t="str">
        <f>IFERROR(__xludf.DUMMYFUNCTION("""COMPUTED_VALUE"""),"Soya beans")</f>
        <v>Soya beans</v>
      </c>
      <c r="H529" s="6">
        <f>IFERROR(__xludf.DUMMYFUNCTION("""COMPUTED_VALUE"""),9050.0)</f>
        <v>9050</v>
      </c>
      <c r="I529" s="7">
        <f>IFERROR(__xludf.DUMMYFUNCTION("""COMPUTED_VALUE"""),44908.0)</f>
        <v>44908</v>
      </c>
      <c r="J529" s="7">
        <f>IFERROR(__xludf.DUMMYFUNCTION("""COMPUTED_VALUE"""),44915.0)</f>
        <v>44915</v>
      </c>
      <c r="K529" s="5" t="str">
        <f>IFERROR(__xludf.DUMMYFUNCTION("""COMPUTED_VALUE"""),"high-income")</f>
        <v>high-income</v>
      </c>
      <c r="L529" s="5" t="str">
        <f>IFERROR(__xludf.DUMMYFUNCTION("""COMPUTED_VALUE"""),"Palau")</f>
        <v>Palau</v>
      </c>
      <c r="M529" s="5" t="str">
        <f>IFERROR(__xludf.DUMMYFUNCTION("""COMPUTED_VALUE"""),"Europe &amp; Central Asia")</f>
        <v>Europe &amp; Central Asia</v>
      </c>
      <c r="N529" s="5" t="str">
        <f>IFERROR(__xludf.DUMMYFUNCTION("""COMPUTED_VALUE"""),"Western Europe and Others")</f>
        <v>Western Europe and Others</v>
      </c>
      <c r="O529" s="5" t="str">
        <f>IFERROR(__xludf.DUMMYFUNCTION("""COMPUTED_VALUE"""),"developed")</f>
        <v>developed</v>
      </c>
      <c r="P529" s="5"/>
      <c r="Q529" s="5"/>
    </row>
    <row r="530">
      <c r="A530" s="5" t="str">
        <f>IFERROR(__xludf.DUMMYFUNCTION("""COMPUTED_VALUE"""),"Outbound")</f>
        <v>Outbound</v>
      </c>
      <c r="B530" s="5">
        <f>IFERROR(__xludf.DUMMYFUNCTION("""COMPUTED_VALUE"""),548.0)</f>
        <v>548</v>
      </c>
      <c r="C530" s="5" t="str">
        <f>IFERROR(__xludf.DUMMYFUNCTION("""COMPUTED_VALUE"""),"MAVKA")</f>
        <v>MAVKA</v>
      </c>
      <c r="D530" s="5">
        <f>IFERROR(__xludf.DUMMYFUNCTION("""COMPUTED_VALUE"""),9284647.0)</f>
        <v>9284647</v>
      </c>
      <c r="E530" s="5" t="str">
        <f>IFERROR(__xludf.DUMMYFUNCTION("""COMPUTED_VALUE"""),"Yuzhny/Pivdennyi")</f>
        <v>Yuzhny/Pivdennyi</v>
      </c>
      <c r="F530" s="5" t="str">
        <f>IFERROR(__xludf.DUMMYFUNCTION("""COMPUTED_VALUE"""),"Romania")</f>
        <v>Romania</v>
      </c>
      <c r="G530" s="5" t="str">
        <f>IFERROR(__xludf.DUMMYFUNCTION("""COMPUTED_VALUE"""),"Sunflower oil")</f>
        <v>Sunflower oil</v>
      </c>
      <c r="H530" s="6">
        <f>IFERROR(__xludf.DUMMYFUNCTION("""COMPUTED_VALUE"""),6250.0)</f>
        <v>6250</v>
      </c>
      <c r="I530" s="7">
        <f>IFERROR(__xludf.DUMMYFUNCTION("""COMPUTED_VALUE"""),44908.0)</f>
        <v>44908</v>
      </c>
      <c r="J530" s="7">
        <f>IFERROR(__xludf.DUMMYFUNCTION("""COMPUTED_VALUE"""),44914.0)</f>
        <v>44914</v>
      </c>
      <c r="K530" s="5" t="str">
        <f>IFERROR(__xludf.DUMMYFUNCTION("""COMPUTED_VALUE"""),"high-income")</f>
        <v>high-income</v>
      </c>
      <c r="L530" s="5" t="str">
        <f>IFERROR(__xludf.DUMMYFUNCTION("""COMPUTED_VALUE"""),"Panama")</f>
        <v>Panama</v>
      </c>
      <c r="M530" s="5" t="str">
        <f>IFERROR(__xludf.DUMMYFUNCTION("""COMPUTED_VALUE"""),"Europe &amp; Central Asia")</f>
        <v>Europe &amp; Central Asia</v>
      </c>
      <c r="N530" s="5" t="str">
        <f>IFERROR(__xludf.DUMMYFUNCTION("""COMPUTED_VALUE"""),"Eastern Europe")</f>
        <v>Eastern Europe</v>
      </c>
      <c r="O530" s="5" t="str">
        <f>IFERROR(__xludf.DUMMYFUNCTION("""COMPUTED_VALUE"""),"developed")</f>
        <v>developed</v>
      </c>
      <c r="P530" s="5"/>
      <c r="Q530" s="5"/>
    </row>
    <row r="531">
      <c r="A531" s="5" t="str">
        <f>IFERROR(__xludf.DUMMYFUNCTION("""COMPUTED_VALUE"""),"Outbound +")</f>
        <v>Outbound +</v>
      </c>
      <c r="B531" s="5">
        <f>IFERROR(__xludf.DUMMYFUNCTION("""COMPUTED_VALUE"""),548.0)</f>
        <v>548</v>
      </c>
      <c r="C531" s="5" t="str">
        <f>IFERROR(__xludf.DUMMYFUNCTION("""COMPUTED_VALUE"""),"MAVKA")</f>
        <v>MAVKA</v>
      </c>
      <c r="D531" s="5">
        <f>IFERROR(__xludf.DUMMYFUNCTION("""COMPUTED_VALUE"""),9284647.0)</f>
        <v>9284647</v>
      </c>
      <c r="E531" s="5" t="str">
        <f>IFERROR(__xludf.DUMMYFUNCTION("""COMPUTED_VALUE"""),"Yuzhny/Pivdennyi")</f>
        <v>Yuzhny/Pivdennyi</v>
      </c>
      <c r="F531" s="5" t="str">
        <f>IFERROR(__xludf.DUMMYFUNCTION("""COMPUTED_VALUE"""),"Spain")</f>
        <v>Spain</v>
      </c>
      <c r="G531" s="5" t="str">
        <f>IFERROR(__xludf.DUMMYFUNCTION("""COMPUTED_VALUE"""),"Sunflower oil")</f>
        <v>Sunflower oil</v>
      </c>
      <c r="H531" s="6">
        <f>IFERROR(__xludf.DUMMYFUNCTION("""COMPUTED_VALUE"""),6250.0)</f>
        <v>6250</v>
      </c>
      <c r="I531" s="7">
        <f>IFERROR(__xludf.DUMMYFUNCTION("""COMPUTED_VALUE"""),44908.0)</f>
        <v>44908</v>
      </c>
      <c r="J531" s="7">
        <f>IFERROR(__xludf.DUMMYFUNCTION("""COMPUTED_VALUE"""),44914.0)</f>
        <v>44914</v>
      </c>
      <c r="K531" s="5" t="str">
        <f>IFERROR(__xludf.DUMMYFUNCTION("""COMPUTED_VALUE"""),"high-income")</f>
        <v>high-income</v>
      </c>
      <c r="L531" s="5" t="str">
        <f>IFERROR(__xludf.DUMMYFUNCTION("""COMPUTED_VALUE"""),"Panama")</f>
        <v>Panama</v>
      </c>
      <c r="M531" s="5" t="str">
        <f>IFERROR(__xludf.DUMMYFUNCTION("""COMPUTED_VALUE"""),"Europe &amp; Central Asia")</f>
        <v>Europe &amp; Central Asia</v>
      </c>
      <c r="N531" s="5" t="str">
        <f>IFERROR(__xludf.DUMMYFUNCTION("""COMPUTED_VALUE"""),"Western Europe and Others")</f>
        <v>Western Europe and Others</v>
      </c>
      <c r="O531" s="5" t="str">
        <f>IFERROR(__xludf.DUMMYFUNCTION("""COMPUTED_VALUE"""),"developed")</f>
        <v>developed</v>
      </c>
      <c r="P531" s="5"/>
      <c r="Q531" s="5"/>
    </row>
    <row r="532">
      <c r="A532" s="5" t="str">
        <f>IFERROR(__xludf.DUMMYFUNCTION("""COMPUTED_VALUE"""),"Outbound")</f>
        <v>Outbound</v>
      </c>
      <c r="B532" s="5">
        <f>IFERROR(__xludf.DUMMYFUNCTION("""COMPUTED_VALUE"""),547.0)</f>
        <v>547</v>
      </c>
      <c r="C532" s="5" t="str">
        <f>IFERROR(__xludf.DUMMYFUNCTION("""COMPUTED_VALUE"""),"LADY LAGUNA")</f>
        <v>LADY LAGUNA</v>
      </c>
      <c r="D532" s="5">
        <f>IFERROR(__xludf.DUMMYFUNCTION("""COMPUTED_VALUE"""),9354040.0)</f>
        <v>9354040</v>
      </c>
      <c r="E532" s="5" t="str">
        <f>IFERROR(__xludf.DUMMYFUNCTION("""COMPUTED_VALUE"""),"Chornomorsk")</f>
        <v>Chornomorsk</v>
      </c>
      <c r="F532" s="5" t="str">
        <f>IFERROR(__xludf.DUMMYFUNCTION("""COMPUTED_VALUE"""),"Türkiye")</f>
        <v>Türkiye</v>
      </c>
      <c r="G532" s="5" t="str">
        <f>IFERROR(__xludf.DUMMYFUNCTION("""COMPUTED_VALUE"""),"Wheat")</f>
        <v>Wheat</v>
      </c>
      <c r="H532" s="6">
        <f>IFERROR(__xludf.DUMMYFUNCTION("""COMPUTED_VALUE"""),18100.0)</f>
        <v>18100</v>
      </c>
      <c r="I532" s="7">
        <f>IFERROR(__xludf.DUMMYFUNCTION("""COMPUTED_VALUE"""),44908.0)</f>
        <v>44908</v>
      </c>
      <c r="J532" s="7">
        <f>IFERROR(__xludf.DUMMYFUNCTION("""COMPUTED_VALUE"""),44922.0)</f>
        <v>44922</v>
      </c>
      <c r="K532" s="5" t="str">
        <f>IFERROR(__xludf.DUMMYFUNCTION("""COMPUTED_VALUE"""),"upper-middle-income")</f>
        <v>upper-middle-income</v>
      </c>
      <c r="L532" s="5" t="str">
        <f>IFERROR(__xludf.DUMMYFUNCTION("""COMPUTED_VALUE"""),"Barbados")</f>
        <v>Barbados</v>
      </c>
      <c r="M532" s="5" t="str">
        <f>IFERROR(__xludf.DUMMYFUNCTION("""COMPUTED_VALUE"""),"Europe &amp; Central Asia")</f>
        <v>Europe &amp; Central Asia</v>
      </c>
      <c r="N532" s="5" t="str">
        <f>IFERROR(__xludf.DUMMYFUNCTION("""COMPUTED_VALUE"""),"Asia-Pacific")</f>
        <v>Asia-Pacific</v>
      </c>
      <c r="O532" s="5" t="str">
        <f>IFERROR(__xludf.DUMMYFUNCTION("""COMPUTED_VALUE"""),"developing")</f>
        <v>developing</v>
      </c>
      <c r="P532" s="5"/>
      <c r="Q532" s="5"/>
    </row>
    <row r="533">
      <c r="A533" s="5" t="str">
        <f>IFERROR(__xludf.DUMMYFUNCTION("""COMPUTED_VALUE"""),"Outbound")</f>
        <v>Outbound</v>
      </c>
      <c r="B533" s="5">
        <f>IFERROR(__xludf.DUMMYFUNCTION("""COMPUTED_VALUE"""),546.0)</f>
        <v>546</v>
      </c>
      <c r="C533" s="5" t="str">
        <f>IFERROR(__xludf.DUMMYFUNCTION("""COMPUTED_VALUE"""),"LADY AYSE")</f>
        <v>LADY AYSE</v>
      </c>
      <c r="D533" s="5">
        <f>IFERROR(__xludf.DUMMYFUNCTION("""COMPUTED_VALUE"""),9227871.0)</f>
        <v>9227871</v>
      </c>
      <c r="E533" s="5" t="str">
        <f>IFERROR(__xludf.DUMMYFUNCTION("""COMPUTED_VALUE"""),"Chornomorsk")</f>
        <v>Chornomorsk</v>
      </c>
      <c r="F533" s="5" t="str">
        <f>IFERROR(__xludf.DUMMYFUNCTION("""COMPUTED_VALUE"""),"Spain")</f>
        <v>Spain</v>
      </c>
      <c r="G533" s="5" t="str">
        <f>IFERROR(__xludf.DUMMYFUNCTION("""COMPUTED_VALUE"""),"Sunflower meal")</f>
        <v>Sunflower meal</v>
      </c>
      <c r="H533" s="6">
        <f>IFERROR(__xludf.DUMMYFUNCTION("""COMPUTED_VALUE"""),10500.0)</f>
        <v>10500</v>
      </c>
      <c r="I533" s="7">
        <f>IFERROR(__xludf.DUMMYFUNCTION("""COMPUTED_VALUE"""),44908.0)</f>
        <v>44908</v>
      </c>
      <c r="J533" s="7">
        <f>IFERROR(__xludf.DUMMYFUNCTION("""COMPUTED_VALUE"""),44916.0)</f>
        <v>44916</v>
      </c>
      <c r="K533" s="5" t="str">
        <f>IFERROR(__xludf.DUMMYFUNCTION("""COMPUTED_VALUE"""),"high-income")</f>
        <v>high-income</v>
      </c>
      <c r="L533" s="5" t="str">
        <f>IFERROR(__xludf.DUMMYFUNCTION("""COMPUTED_VALUE"""),"Panama")</f>
        <v>Panama</v>
      </c>
      <c r="M533" s="5" t="str">
        <f>IFERROR(__xludf.DUMMYFUNCTION("""COMPUTED_VALUE"""),"Europe &amp; Central Asia")</f>
        <v>Europe &amp; Central Asia</v>
      </c>
      <c r="N533" s="5" t="str">
        <f>IFERROR(__xludf.DUMMYFUNCTION("""COMPUTED_VALUE"""),"Western Europe and Others")</f>
        <v>Western Europe and Others</v>
      </c>
      <c r="O533" s="5" t="str">
        <f>IFERROR(__xludf.DUMMYFUNCTION("""COMPUTED_VALUE"""),"developed")</f>
        <v>developed</v>
      </c>
      <c r="P533" s="5"/>
      <c r="Q533" s="5"/>
    </row>
    <row r="534">
      <c r="A534" s="5" t="str">
        <f>IFERROR(__xludf.DUMMYFUNCTION("""COMPUTED_VALUE"""),"Outbound")</f>
        <v>Outbound</v>
      </c>
      <c r="B534" s="5">
        <f>IFERROR(__xludf.DUMMYFUNCTION("""COMPUTED_VALUE"""),545.0)</f>
        <v>545</v>
      </c>
      <c r="C534" s="5" t="str">
        <f>IFERROR(__xludf.DUMMYFUNCTION("""COMPUTED_VALUE"""),"DS MANATEE")</f>
        <v>DS MANATEE</v>
      </c>
      <c r="D534" s="5">
        <f>IFERROR(__xludf.DUMMYFUNCTION("""COMPUTED_VALUE"""),9255189.0)</f>
        <v>9255189</v>
      </c>
      <c r="E534" s="5" t="str">
        <f>IFERROR(__xludf.DUMMYFUNCTION("""COMPUTED_VALUE"""),"Odesa")</f>
        <v>Odesa</v>
      </c>
      <c r="F534" s="5" t="str">
        <f>IFERROR(__xludf.DUMMYFUNCTION("""COMPUTED_VALUE"""),"Italy")</f>
        <v>Italy</v>
      </c>
      <c r="G534" s="5" t="str">
        <f>IFERROR(__xludf.DUMMYFUNCTION("""COMPUTED_VALUE"""),"Corn")</f>
        <v>Corn</v>
      </c>
      <c r="H534" s="6">
        <f>IFERROR(__xludf.DUMMYFUNCTION("""COMPUTED_VALUE"""),21000.0)</f>
        <v>21000</v>
      </c>
      <c r="I534" s="7">
        <f>IFERROR(__xludf.DUMMYFUNCTION("""COMPUTED_VALUE"""),44908.0)</f>
        <v>44908</v>
      </c>
      <c r="J534" s="7">
        <f>IFERROR(__xludf.DUMMYFUNCTION("""COMPUTED_VALUE"""),44916.0)</f>
        <v>44916</v>
      </c>
      <c r="K534" s="5" t="str">
        <f>IFERROR(__xludf.DUMMYFUNCTION("""COMPUTED_VALUE"""),"high-income")</f>
        <v>high-income</v>
      </c>
      <c r="L534" s="5" t="str">
        <f>IFERROR(__xludf.DUMMYFUNCTION("""COMPUTED_VALUE"""),"Marshall Islands")</f>
        <v>Marshall Islands</v>
      </c>
      <c r="M534" s="5" t="str">
        <f>IFERROR(__xludf.DUMMYFUNCTION("""COMPUTED_VALUE"""),"Europe &amp; Central Asia")</f>
        <v>Europe &amp; Central Asia</v>
      </c>
      <c r="N534" s="5" t="str">
        <f>IFERROR(__xludf.DUMMYFUNCTION("""COMPUTED_VALUE"""),"Western Europe and Others")</f>
        <v>Western Europe and Others</v>
      </c>
      <c r="O534" s="5" t="str">
        <f>IFERROR(__xludf.DUMMYFUNCTION("""COMPUTED_VALUE"""),"developed")</f>
        <v>developed</v>
      </c>
      <c r="P534" s="5"/>
      <c r="Q534" s="5"/>
    </row>
    <row r="535">
      <c r="A535" s="5" t="str">
        <f>IFERROR(__xludf.DUMMYFUNCTION("""COMPUTED_VALUE"""),"Outbound +")</f>
        <v>Outbound +</v>
      </c>
      <c r="B535" s="5">
        <f>IFERROR(__xludf.DUMMYFUNCTION("""COMPUTED_VALUE"""),545.0)</f>
        <v>545</v>
      </c>
      <c r="C535" s="5" t="str">
        <f>IFERROR(__xludf.DUMMYFUNCTION("""COMPUTED_VALUE"""),"DS MANATEE")</f>
        <v>DS MANATEE</v>
      </c>
      <c r="D535" s="5">
        <f>IFERROR(__xludf.DUMMYFUNCTION("""COMPUTED_VALUE"""),9255189.0)</f>
        <v>9255189</v>
      </c>
      <c r="E535" s="5" t="str">
        <f>IFERROR(__xludf.DUMMYFUNCTION("""COMPUTED_VALUE"""),"Odesa")</f>
        <v>Odesa</v>
      </c>
      <c r="F535" s="5" t="str">
        <f>IFERROR(__xludf.DUMMYFUNCTION("""COMPUTED_VALUE"""),"Italy")</f>
        <v>Italy</v>
      </c>
      <c r="G535" s="5" t="str">
        <f>IFERROR(__xludf.DUMMYFUNCTION("""COMPUTED_VALUE"""),"Soya beans")</f>
        <v>Soya beans</v>
      </c>
      <c r="H535" s="6">
        <f>IFERROR(__xludf.DUMMYFUNCTION("""COMPUTED_VALUE"""),5250.0)</f>
        <v>5250</v>
      </c>
      <c r="I535" s="7">
        <f>IFERROR(__xludf.DUMMYFUNCTION("""COMPUTED_VALUE"""),44908.0)</f>
        <v>44908</v>
      </c>
      <c r="J535" s="7">
        <f>IFERROR(__xludf.DUMMYFUNCTION("""COMPUTED_VALUE"""),44916.0)</f>
        <v>44916</v>
      </c>
      <c r="K535" s="5" t="str">
        <f>IFERROR(__xludf.DUMMYFUNCTION("""COMPUTED_VALUE"""),"high-income")</f>
        <v>high-income</v>
      </c>
      <c r="L535" s="5" t="str">
        <f>IFERROR(__xludf.DUMMYFUNCTION("""COMPUTED_VALUE"""),"Marshall Islands")</f>
        <v>Marshall Islands</v>
      </c>
      <c r="M535" s="5" t="str">
        <f>IFERROR(__xludf.DUMMYFUNCTION("""COMPUTED_VALUE"""),"Europe &amp; Central Asia")</f>
        <v>Europe &amp; Central Asia</v>
      </c>
      <c r="N535" s="5" t="str">
        <f>IFERROR(__xludf.DUMMYFUNCTION("""COMPUTED_VALUE"""),"Western Europe and Others")</f>
        <v>Western Europe and Others</v>
      </c>
      <c r="O535" s="5" t="str">
        <f>IFERROR(__xludf.DUMMYFUNCTION("""COMPUTED_VALUE"""),"developed")</f>
        <v>developed</v>
      </c>
      <c r="P535" s="5"/>
      <c r="Q535" s="5"/>
    </row>
    <row r="536">
      <c r="A536" s="5" t="str">
        <f>IFERROR(__xludf.DUMMYFUNCTION("""COMPUTED_VALUE"""),"Outbound")</f>
        <v>Outbound</v>
      </c>
      <c r="B536" s="5">
        <f>IFERROR(__xludf.DUMMYFUNCTION("""COMPUTED_VALUE"""),544.0)</f>
        <v>544</v>
      </c>
      <c r="C536" s="5" t="str">
        <f>IFERROR(__xludf.DUMMYFUNCTION("""COMPUTED_VALUE"""),"CHOLA VIRTUE")</f>
        <v>CHOLA VIRTUE</v>
      </c>
      <c r="D536" s="5">
        <f>IFERROR(__xludf.DUMMYFUNCTION("""COMPUTED_VALUE"""),9267601.0)</f>
        <v>9267601</v>
      </c>
      <c r="E536" s="5" t="str">
        <f>IFERROR(__xludf.DUMMYFUNCTION("""COMPUTED_VALUE"""),"Chornomorsk")</f>
        <v>Chornomorsk</v>
      </c>
      <c r="F536" s="5" t="str">
        <f>IFERROR(__xludf.DUMMYFUNCTION("""COMPUTED_VALUE"""),"China")</f>
        <v>China</v>
      </c>
      <c r="G536" s="5" t="str">
        <f>IFERROR(__xludf.DUMMYFUNCTION("""COMPUTED_VALUE"""),"Corn")</f>
        <v>Corn</v>
      </c>
      <c r="H536" s="6">
        <f>IFERROR(__xludf.DUMMYFUNCTION("""COMPUTED_VALUE"""),65234.0)</f>
        <v>65234</v>
      </c>
      <c r="I536" s="7">
        <f>IFERROR(__xludf.DUMMYFUNCTION("""COMPUTED_VALUE"""),44908.0)</f>
        <v>44908</v>
      </c>
      <c r="J536" s="7">
        <f>IFERROR(__xludf.DUMMYFUNCTION("""COMPUTED_VALUE"""),44915.0)</f>
        <v>44915</v>
      </c>
      <c r="K536" s="5" t="str">
        <f>IFERROR(__xludf.DUMMYFUNCTION("""COMPUTED_VALUE"""),"upper-middle-income")</f>
        <v>upper-middle-income</v>
      </c>
      <c r="L536" s="5" t="str">
        <f>IFERROR(__xludf.DUMMYFUNCTION("""COMPUTED_VALUE"""),"Singapore")</f>
        <v>Singapore</v>
      </c>
      <c r="M536" s="5" t="str">
        <f>IFERROR(__xludf.DUMMYFUNCTION("""COMPUTED_VALUE"""),"East Asia &amp; Pacific")</f>
        <v>East Asia &amp; Pacific</v>
      </c>
      <c r="N536" s="5" t="str">
        <f>IFERROR(__xludf.DUMMYFUNCTION("""COMPUTED_VALUE"""),"Asia-Pacific")</f>
        <v>Asia-Pacific</v>
      </c>
      <c r="O536" s="5" t="str">
        <f>IFERROR(__xludf.DUMMYFUNCTION("""COMPUTED_VALUE"""),"developing")</f>
        <v>developing</v>
      </c>
      <c r="P536" s="5"/>
      <c r="Q536" s="5"/>
    </row>
    <row r="537">
      <c r="A537" s="5" t="str">
        <f>IFERROR(__xludf.DUMMYFUNCTION("""COMPUTED_VALUE"""),"Outbound")</f>
        <v>Outbound</v>
      </c>
      <c r="B537" s="5">
        <f>IFERROR(__xludf.DUMMYFUNCTION("""COMPUTED_VALUE"""),543.0)</f>
        <v>543</v>
      </c>
      <c r="C537" s="5" t="str">
        <f>IFERROR(__xludf.DUMMYFUNCTION("""COMPUTED_VALUE"""),"RUBYMAR")</f>
        <v>RUBYMAR</v>
      </c>
      <c r="D537" s="5">
        <f>IFERROR(__xludf.DUMMYFUNCTION("""COMPUTED_VALUE"""),9138898.0)</f>
        <v>9138898</v>
      </c>
      <c r="E537" s="5" t="str">
        <f>IFERROR(__xludf.DUMMYFUNCTION("""COMPUTED_VALUE"""),"Odesa")</f>
        <v>Odesa</v>
      </c>
      <c r="F537" s="5" t="str">
        <f>IFERROR(__xludf.DUMMYFUNCTION("""COMPUTED_VALUE"""),"Egypt")</f>
        <v>Egypt</v>
      </c>
      <c r="G537" s="5" t="str">
        <f>IFERROR(__xludf.DUMMYFUNCTION("""COMPUTED_VALUE"""),"Wheat")</f>
        <v>Wheat</v>
      </c>
      <c r="H537" s="6">
        <f>IFERROR(__xludf.DUMMYFUNCTION("""COMPUTED_VALUE"""),35000.0)</f>
        <v>35000</v>
      </c>
      <c r="I537" s="7">
        <f>IFERROR(__xludf.DUMMYFUNCTION("""COMPUTED_VALUE"""),44906.0)</f>
        <v>44906</v>
      </c>
      <c r="J537" s="7">
        <f>IFERROR(__xludf.DUMMYFUNCTION("""COMPUTED_VALUE"""),44918.0)</f>
        <v>44918</v>
      </c>
      <c r="K537" s="5" t="str">
        <f>IFERROR(__xludf.DUMMYFUNCTION("""COMPUTED_VALUE"""),"lower-middle income")</f>
        <v>lower-middle income</v>
      </c>
      <c r="L537" s="5" t="str">
        <f>IFERROR(__xludf.DUMMYFUNCTION("""COMPUTED_VALUE"""),"Belize")</f>
        <v>Belize</v>
      </c>
      <c r="M537" s="5" t="str">
        <f>IFERROR(__xludf.DUMMYFUNCTION("""COMPUTED_VALUE"""),"Middle East &amp; North Africa")</f>
        <v>Middle East &amp; North Africa</v>
      </c>
      <c r="N537" s="5" t="str">
        <f>IFERROR(__xludf.DUMMYFUNCTION("""COMPUTED_VALUE"""),"Africa")</f>
        <v>Africa</v>
      </c>
      <c r="O537" s="5" t="str">
        <f>IFERROR(__xludf.DUMMYFUNCTION("""COMPUTED_VALUE"""),"developing")</f>
        <v>developing</v>
      </c>
      <c r="P537" s="5"/>
      <c r="Q537" s="5"/>
    </row>
    <row r="538">
      <c r="A538" s="5" t="str">
        <f>IFERROR(__xludf.DUMMYFUNCTION("""COMPUTED_VALUE"""),"Outbound")</f>
        <v>Outbound</v>
      </c>
      <c r="B538" s="5">
        <f>IFERROR(__xludf.DUMMYFUNCTION("""COMPUTED_VALUE"""),542.0)</f>
        <v>542</v>
      </c>
      <c r="C538" s="5" t="str">
        <f>IFERROR(__xludf.DUMMYFUNCTION("""COMPUTED_VALUE"""),"LADY YOUMNA")</f>
        <v>LADY YOUMNA</v>
      </c>
      <c r="D538" s="5">
        <f>IFERROR(__xludf.DUMMYFUNCTION("""COMPUTED_VALUE"""),9268423.0)</f>
        <v>9268423</v>
      </c>
      <c r="E538" s="5" t="str">
        <f>IFERROR(__xludf.DUMMYFUNCTION("""COMPUTED_VALUE"""),"Chornomorsk")</f>
        <v>Chornomorsk</v>
      </c>
      <c r="F538" s="5" t="str">
        <f>IFERROR(__xludf.DUMMYFUNCTION("""COMPUTED_VALUE"""),"Saudi Arabia")</f>
        <v>Saudi Arabia</v>
      </c>
      <c r="G538" s="5" t="str">
        <f>IFERROR(__xludf.DUMMYFUNCTION("""COMPUTED_VALUE"""),"Sunflower oil")</f>
        <v>Sunflower oil</v>
      </c>
      <c r="H538" s="6">
        <f>IFERROR(__xludf.DUMMYFUNCTION("""COMPUTED_VALUE"""),4000.0)</f>
        <v>4000</v>
      </c>
      <c r="I538" s="7">
        <f>IFERROR(__xludf.DUMMYFUNCTION("""COMPUTED_VALUE"""),44906.0)</f>
        <v>44906</v>
      </c>
      <c r="J538" s="7">
        <f>IFERROR(__xludf.DUMMYFUNCTION("""COMPUTED_VALUE"""),44913.0)</f>
        <v>44913</v>
      </c>
      <c r="K538" s="5" t="str">
        <f>IFERROR(__xludf.DUMMYFUNCTION("""COMPUTED_VALUE"""),"high-income")</f>
        <v>high-income</v>
      </c>
      <c r="L538" s="5" t="str">
        <f>IFERROR(__xludf.DUMMYFUNCTION("""COMPUTED_VALUE"""),"Liberia")</f>
        <v>Liberia</v>
      </c>
      <c r="M538" s="5" t="str">
        <f>IFERROR(__xludf.DUMMYFUNCTION("""COMPUTED_VALUE"""),"Middle East &amp; North Africa")</f>
        <v>Middle East &amp; North Africa</v>
      </c>
      <c r="N538" s="5" t="str">
        <f>IFERROR(__xludf.DUMMYFUNCTION("""COMPUTED_VALUE"""),"Asia-Pacific")</f>
        <v>Asia-Pacific</v>
      </c>
      <c r="O538" s="5" t="str">
        <f>IFERROR(__xludf.DUMMYFUNCTION("""COMPUTED_VALUE"""),"developing")</f>
        <v>developing</v>
      </c>
      <c r="P538" s="5"/>
      <c r="Q538" s="5"/>
    </row>
    <row r="539">
      <c r="A539" s="5" t="str">
        <f>IFERROR(__xludf.DUMMYFUNCTION("""COMPUTED_VALUE"""),"Outbound +")</f>
        <v>Outbound +</v>
      </c>
      <c r="B539" s="5">
        <f>IFERROR(__xludf.DUMMYFUNCTION("""COMPUTED_VALUE"""),542.0)</f>
        <v>542</v>
      </c>
      <c r="C539" s="5" t="str">
        <f>IFERROR(__xludf.DUMMYFUNCTION("""COMPUTED_VALUE"""),"LADY YOUMNA")</f>
        <v>LADY YOUMNA</v>
      </c>
      <c r="D539" s="5">
        <f>IFERROR(__xludf.DUMMYFUNCTION("""COMPUTED_VALUE"""),9268423.0)</f>
        <v>9268423</v>
      </c>
      <c r="E539" s="5" t="str">
        <f>IFERROR(__xludf.DUMMYFUNCTION("""COMPUTED_VALUE"""),"Chornomorsk")</f>
        <v>Chornomorsk</v>
      </c>
      <c r="F539" s="5" t="str">
        <f>IFERROR(__xludf.DUMMYFUNCTION("""COMPUTED_VALUE"""),"United Arab Emirates")</f>
        <v>United Arab Emirates</v>
      </c>
      <c r="G539" s="5" t="str">
        <f>IFERROR(__xludf.DUMMYFUNCTION("""COMPUTED_VALUE"""),"Sunflower oil")</f>
        <v>Sunflower oil</v>
      </c>
      <c r="H539" s="6">
        <f>IFERROR(__xludf.DUMMYFUNCTION("""COMPUTED_VALUE"""),11900.0)</f>
        <v>11900</v>
      </c>
      <c r="I539" s="7">
        <f>IFERROR(__xludf.DUMMYFUNCTION("""COMPUTED_VALUE"""),44906.0)</f>
        <v>44906</v>
      </c>
      <c r="J539" s="7">
        <f>IFERROR(__xludf.DUMMYFUNCTION("""COMPUTED_VALUE"""),44913.0)</f>
        <v>44913</v>
      </c>
      <c r="K539" s="5" t="str">
        <f>IFERROR(__xludf.DUMMYFUNCTION("""COMPUTED_VALUE"""),"high-income")</f>
        <v>high-income</v>
      </c>
      <c r="L539" s="5" t="str">
        <f>IFERROR(__xludf.DUMMYFUNCTION("""COMPUTED_VALUE"""),"Liberia")</f>
        <v>Liberia</v>
      </c>
      <c r="M539" s="5" t="str">
        <f>IFERROR(__xludf.DUMMYFUNCTION("""COMPUTED_VALUE"""),"Middle East &amp; North Africa")</f>
        <v>Middle East &amp; North Africa</v>
      </c>
      <c r="N539" s="5" t="str">
        <f>IFERROR(__xludf.DUMMYFUNCTION("""COMPUTED_VALUE"""),"Asia-Pacific")</f>
        <v>Asia-Pacific</v>
      </c>
      <c r="O539" s="5" t="str">
        <f>IFERROR(__xludf.DUMMYFUNCTION("""COMPUTED_VALUE"""),"developing")</f>
        <v>developing</v>
      </c>
      <c r="P539" s="5"/>
      <c r="Q539" s="5"/>
    </row>
    <row r="540">
      <c r="A540" s="5" t="str">
        <f>IFERROR(__xludf.DUMMYFUNCTION("""COMPUTED_VALUE"""),"Outbound")</f>
        <v>Outbound</v>
      </c>
      <c r="B540" s="5">
        <f>IFERROR(__xludf.DUMMYFUNCTION("""COMPUTED_VALUE"""),541.0)</f>
        <v>541</v>
      </c>
      <c r="C540" s="5" t="str">
        <f>IFERROR(__xludf.DUMMYFUNCTION("""COMPUTED_VALUE"""),"JAGUAR MAX")</f>
        <v>JAGUAR MAX</v>
      </c>
      <c r="D540" s="5">
        <f>IFERROR(__xludf.DUMMYFUNCTION("""COMPUTED_VALUE"""),9589140.0)</f>
        <v>9589140</v>
      </c>
      <c r="E540" s="5" t="str">
        <f>IFERROR(__xludf.DUMMYFUNCTION("""COMPUTED_VALUE"""),"Chornomorsk")</f>
        <v>Chornomorsk</v>
      </c>
      <c r="F540" s="5" t="str">
        <f>IFERROR(__xludf.DUMMYFUNCTION("""COMPUTED_VALUE"""),"Greece")</f>
        <v>Greece</v>
      </c>
      <c r="G540" s="5" t="str">
        <f>IFERROR(__xludf.DUMMYFUNCTION("""COMPUTED_VALUE"""),"Rapeseed")</f>
        <v>Rapeseed</v>
      </c>
      <c r="H540" s="6">
        <f>IFERROR(__xludf.DUMMYFUNCTION("""COMPUTED_VALUE"""),28000.0)</f>
        <v>28000</v>
      </c>
      <c r="I540" s="7">
        <f>IFERROR(__xludf.DUMMYFUNCTION("""COMPUTED_VALUE"""),44906.0)</f>
        <v>44906</v>
      </c>
      <c r="J540" s="7">
        <f>IFERROR(__xludf.DUMMYFUNCTION("""COMPUTED_VALUE"""),44914.0)</f>
        <v>44914</v>
      </c>
      <c r="K540" s="5" t="str">
        <f>IFERROR(__xludf.DUMMYFUNCTION("""COMPUTED_VALUE"""),"high-income")</f>
        <v>high-income</v>
      </c>
      <c r="L540" s="5" t="str">
        <f>IFERROR(__xludf.DUMMYFUNCTION("""COMPUTED_VALUE"""),"Bahamas")</f>
        <v>Bahamas</v>
      </c>
      <c r="M540" s="5" t="str">
        <f>IFERROR(__xludf.DUMMYFUNCTION("""COMPUTED_VALUE"""),"Europe &amp; Central Asia")</f>
        <v>Europe &amp; Central Asia</v>
      </c>
      <c r="N540" s="5" t="str">
        <f>IFERROR(__xludf.DUMMYFUNCTION("""COMPUTED_VALUE"""),"Western Europe and Others")</f>
        <v>Western Europe and Others</v>
      </c>
      <c r="O540" s="5" t="str">
        <f>IFERROR(__xludf.DUMMYFUNCTION("""COMPUTED_VALUE"""),"developed")</f>
        <v>developed</v>
      </c>
      <c r="P540" s="5"/>
      <c r="Q540" s="5"/>
    </row>
    <row r="541">
      <c r="A541" s="5" t="str">
        <f>IFERROR(__xludf.DUMMYFUNCTION("""COMPUTED_VALUE"""),"Outbound +")</f>
        <v>Outbound +</v>
      </c>
      <c r="B541" s="5">
        <f>IFERROR(__xludf.DUMMYFUNCTION("""COMPUTED_VALUE"""),541.0)</f>
        <v>541</v>
      </c>
      <c r="C541" s="5" t="str">
        <f>IFERROR(__xludf.DUMMYFUNCTION("""COMPUTED_VALUE"""),"JAGUAR MAX")</f>
        <v>JAGUAR MAX</v>
      </c>
      <c r="D541" s="5">
        <f>IFERROR(__xludf.DUMMYFUNCTION("""COMPUTED_VALUE"""),9589140.0)</f>
        <v>9589140</v>
      </c>
      <c r="E541" s="5" t="str">
        <f>IFERROR(__xludf.DUMMYFUNCTION("""COMPUTED_VALUE"""),"Chornomorsk")</f>
        <v>Chornomorsk</v>
      </c>
      <c r="F541" s="5" t="str">
        <f>IFERROR(__xludf.DUMMYFUNCTION("""COMPUTED_VALUE"""),"Spain")</f>
        <v>Spain</v>
      </c>
      <c r="G541" s="5" t="str">
        <f>IFERROR(__xludf.DUMMYFUNCTION("""COMPUTED_VALUE"""),"Wheat")</f>
        <v>Wheat</v>
      </c>
      <c r="H541" s="6">
        <f>IFERROR(__xludf.DUMMYFUNCTION("""COMPUTED_VALUE"""),40000.0)</f>
        <v>40000</v>
      </c>
      <c r="I541" s="7">
        <f>IFERROR(__xludf.DUMMYFUNCTION("""COMPUTED_VALUE"""),44906.0)</f>
        <v>44906</v>
      </c>
      <c r="J541" s="7">
        <f>IFERROR(__xludf.DUMMYFUNCTION("""COMPUTED_VALUE"""),44914.0)</f>
        <v>44914</v>
      </c>
      <c r="K541" s="5" t="str">
        <f>IFERROR(__xludf.DUMMYFUNCTION("""COMPUTED_VALUE"""),"high-income")</f>
        <v>high-income</v>
      </c>
      <c r="L541" s="5" t="str">
        <f>IFERROR(__xludf.DUMMYFUNCTION("""COMPUTED_VALUE"""),"Bahamas")</f>
        <v>Bahamas</v>
      </c>
      <c r="M541" s="5" t="str">
        <f>IFERROR(__xludf.DUMMYFUNCTION("""COMPUTED_VALUE"""),"Europe &amp; Central Asia")</f>
        <v>Europe &amp; Central Asia</v>
      </c>
      <c r="N541" s="5" t="str">
        <f>IFERROR(__xludf.DUMMYFUNCTION("""COMPUTED_VALUE"""),"Western Europe and Others")</f>
        <v>Western Europe and Others</v>
      </c>
      <c r="O541" s="5" t="str">
        <f>IFERROR(__xludf.DUMMYFUNCTION("""COMPUTED_VALUE"""),"developed")</f>
        <v>developed</v>
      </c>
      <c r="P541" s="5"/>
      <c r="Q541" s="5"/>
    </row>
    <row r="542">
      <c r="A542" s="5" t="str">
        <f>IFERROR(__xludf.DUMMYFUNCTION("""COMPUTED_VALUE"""),"Outbound")</f>
        <v>Outbound</v>
      </c>
      <c r="B542" s="5">
        <f>IFERROR(__xludf.DUMMYFUNCTION("""COMPUTED_VALUE"""),540.0)</f>
        <v>540</v>
      </c>
      <c r="C542" s="5" t="str">
        <f>IFERROR(__xludf.DUMMYFUNCTION("""COMPUTED_VALUE"""),"IOANNIS K")</f>
        <v>IOANNIS K</v>
      </c>
      <c r="D542" s="5">
        <f>IFERROR(__xludf.DUMMYFUNCTION("""COMPUTED_VALUE"""),9706774.0)</f>
        <v>9706774</v>
      </c>
      <c r="E542" s="5" t="str">
        <f>IFERROR(__xludf.DUMMYFUNCTION("""COMPUTED_VALUE"""),"Chornomorsk")</f>
        <v>Chornomorsk</v>
      </c>
      <c r="F542" s="5" t="str">
        <f>IFERROR(__xludf.DUMMYFUNCTION("""COMPUTED_VALUE"""),"The Netherlands")</f>
        <v>The Netherlands</v>
      </c>
      <c r="G542" s="5" t="str">
        <f>IFERROR(__xludf.DUMMYFUNCTION("""COMPUTED_VALUE"""),"Corn")</f>
        <v>Corn</v>
      </c>
      <c r="H542" s="6">
        <f>IFERROR(__xludf.DUMMYFUNCTION("""COMPUTED_VALUE"""),66000.0)</f>
        <v>66000</v>
      </c>
      <c r="I542" s="7">
        <f>IFERROR(__xludf.DUMMYFUNCTION("""COMPUTED_VALUE"""),44906.0)</f>
        <v>44906</v>
      </c>
      <c r="J542" s="7">
        <f>IFERROR(__xludf.DUMMYFUNCTION("""COMPUTED_VALUE"""),44912.0)</f>
        <v>44912</v>
      </c>
      <c r="K542" s="5" t="str">
        <f>IFERROR(__xludf.DUMMYFUNCTION("""COMPUTED_VALUE"""),"high-income")</f>
        <v>high-income</v>
      </c>
      <c r="L542" s="5" t="str">
        <f>IFERROR(__xludf.DUMMYFUNCTION("""COMPUTED_VALUE"""),"Liberia")</f>
        <v>Liberia</v>
      </c>
      <c r="M542" s="5" t="str">
        <f>IFERROR(__xludf.DUMMYFUNCTION("""COMPUTED_VALUE"""),"Europe &amp; Central Asia")</f>
        <v>Europe &amp; Central Asia</v>
      </c>
      <c r="N542" s="5" t="str">
        <f>IFERROR(__xludf.DUMMYFUNCTION("""COMPUTED_VALUE"""),"Western Europe and Others")</f>
        <v>Western Europe and Others</v>
      </c>
      <c r="O542" s="5" t="str">
        <f>IFERROR(__xludf.DUMMYFUNCTION("""COMPUTED_VALUE"""),"developed")</f>
        <v>developed</v>
      </c>
      <c r="P542" s="5"/>
      <c r="Q542" s="5"/>
    </row>
    <row r="543">
      <c r="A543" s="5" t="str">
        <f>IFERROR(__xludf.DUMMYFUNCTION("""COMPUTED_VALUE"""),"Outbound")</f>
        <v>Outbound</v>
      </c>
      <c r="B543" s="5">
        <f>IFERROR(__xludf.DUMMYFUNCTION("""COMPUTED_VALUE"""),539.0)</f>
        <v>539</v>
      </c>
      <c r="C543" s="5" t="str">
        <f>IFERROR(__xludf.DUMMYFUNCTION("""COMPUTED_VALUE"""),"TINA S")</f>
        <v>TINA S</v>
      </c>
      <c r="D543" s="5">
        <f>IFERROR(__xludf.DUMMYFUNCTION("""COMPUTED_VALUE"""),9498432.0)</f>
        <v>9498432</v>
      </c>
      <c r="E543" s="5" t="str">
        <f>IFERROR(__xludf.DUMMYFUNCTION("""COMPUTED_VALUE"""),"Chornomorsk")</f>
        <v>Chornomorsk</v>
      </c>
      <c r="F543" s="5" t="str">
        <f>IFERROR(__xludf.DUMMYFUNCTION("""COMPUTED_VALUE"""),"Portugal")</f>
        <v>Portugal</v>
      </c>
      <c r="G543" s="5" t="str">
        <f>IFERROR(__xludf.DUMMYFUNCTION("""COMPUTED_VALUE"""),"Corn")</f>
        <v>Corn</v>
      </c>
      <c r="H543" s="6">
        <f>IFERROR(__xludf.DUMMYFUNCTION("""COMPUTED_VALUE"""),30015.0)</f>
        <v>30015</v>
      </c>
      <c r="I543" s="7">
        <f>IFERROR(__xludf.DUMMYFUNCTION("""COMPUTED_VALUE"""),44905.0)</f>
        <v>44905</v>
      </c>
      <c r="J543" s="7">
        <f>IFERROR(__xludf.DUMMYFUNCTION("""COMPUTED_VALUE"""),44912.0)</f>
        <v>44912</v>
      </c>
      <c r="K543" s="5" t="str">
        <f>IFERROR(__xludf.DUMMYFUNCTION("""COMPUTED_VALUE"""),"high-income")</f>
        <v>high-income</v>
      </c>
      <c r="L543" s="5" t="str">
        <f>IFERROR(__xludf.DUMMYFUNCTION("""COMPUTED_VALUE"""),"Liberia")</f>
        <v>Liberia</v>
      </c>
      <c r="M543" s="5" t="str">
        <f>IFERROR(__xludf.DUMMYFUNCTION("""COMPUTED_VALUE"""),"Europe &amp; Central Asia")</f>
        <v>Europe &amp; Central Asia</v>
      </c>
      <c r="N543" s="5" t="str">
        <f>IFERROR(__xludf.DUMMYFUNCTION("""COMPUTED_VALUE"""),"Western Europe and Others")</f>
        <v>Western Europe and Others</v>
      </c>
      <c r="O543" s="5" t="str">
        <f>IFERROR(__xludf.DUMMYFUNCTION("""COMPUTED_VALUE"""),"developed")</f>
        <v>developed</v>
      </c>
      <c r="P543" s="5"/>
      <c r="Q543" s="5"/>
    </row>
    <row r="544">
      <c r="A544" s="5" t="str">
        <f>IFERROR(__xludf.DUMMYFUNCTION("""COMPUTED_VALUE"""),"Outbound")</f>
        <v>Outbound</v>
      </c>
      <c r="B544" s="5">
        <f>IFERROR(__xludf.DUMMYFUNCTION("""COMPUTED_VALUE"""),538.0)</f>
        <v>538</v>
      </c>
      <c r="C544" s="5" t="str">
        <f>IFERROR(__xludf.DUMMYFUNCTION("""COMPUTED_VALUE"""),"PATRICIA V")</f>
        <v>PATRICIA V</v>
      </c>
      <c r="D544" s="5">
        <f>IFERROR(__xludf.DUMMYFUNCTION("""COMPUTED_VALUE"""),9453054.0)</f>
        <v>9453054</v>
      </c>
      <c r="E544" s="5" t="str">
        <f>IFERROR(__xludf.DUMMYFUNCTION("""COMPUTED_VALUE"""),"Yuzhny/Pivdennyi")</f>
        <v>Yuzhny/Pivdennyi</v>
      </c>
      <c r="F544" s="5" t="str">
        <f>IFERROR(__xludf.DUMMYFUNCTION("""COMPUTED_VALUE"""),"Belgium")</f>
        <v>Belgium</v>
      </c>
      <c r="G544" s="5" t="str">
        <f>IFERROR(__xludf.DUMMYFUNCTION("""COMPUTED_VALUE"""),"Corn")</f>
        <v>Corn</v>
      </c>
      <c r="H544" s="6">
        <f>IFERROR(__xludf.DUMMYFUNCTION("""COMPUTED_VALUE"""),60965.0)</f>
        <v>60965</v>
      </c>
      <c r="I544" s="7">
        <f>IFERROR(__xludf.DUMMYFUNCTION("""COMPUTED_VALUE"""),44905.0)</f>
        <v>44905</v>
      </c>
      <c r="J544" s="7">
        <f>IFERROR(__xludf.DUMMYFUNCTION("""COMPUTED_VALUE"""),44912.0)</f>
        <v>44912</v>
      </c>
      <c r="K544" s="5" t="str">
        <f>IFERROR(__xludf.DUMMYFUNCTION("""COMPUTED_VALUE"""),"high-income")</f>
        <v>high-income</v>
      </c>
      <c r="L544" s="5" t="str">
        <f>IFERROR(__xludf.DUMMYFUNCTION("""COMPUTED_VALUE"""),"Liberia")</f>
        <v>Liberia</v>
      </c>
      <c r="M544" s="5" t="str">
        <f>IFERROR(__xludf.DUMMYFUNCTION("""COMPUTED_VALUE"""),"Europe &amp; Central Asia")</f>
        <v>Europe &amp; Central Asia</v>
      </c>
      <c r="N544" s="5" t="str">
        <f>IFERROR(__xludf.DUMMYFUNCTION("""COMPUTED_VALUE"""),"Western Europe and Others")</f>
        <v>Western Europe and Others</v>
      </c>
      <c r="O544" s="5" t="str">
        <f>IFERROR(__xludf.DUMMYFUNCTION("""COMPUTED_VALUE"""),"developed")</f>
        <v>developed</v>
      </c>
      <c r="P544" s="5"/>
      <c r="Q544" s="5"/>
    </row>
    <row r="545">
      <c r="A545" s="5" t="str">
        <f>IFERROR(__xludf.DUMMYFUNCTION("""COMPUTED_VALUE"""),"Outbound")</f>
        <v>Outbound</v>
      </c>
      <c r="B545" s="5">
        <f>IFERROR(__xludf.DUMMYFUNCTION("""COMPUTED_VALUE"""),537.0)</f>
        <v>537</v>
      </c>
      <c r="C545" s="5" t="str">
        <f>IFERROR(__xludf.DUMMYFUNCTION("""COMPUTED_VALUE"""),"INASE")</f>
        <v>INASE</v>
      </c>
      <c r="D545" s="5">
        <f>IFERROR(__xludf.DUMMYFUNCTION("""COMPUTED_VALUE"""),9445148.0)</f>
        <v>9445148</v>
      </c>
      <c r="E545" s="5" t="str">
        <f>IFERROR(__xludf.DUMMYFUNCTION("""COMPUTED_VALUE"""),"Odesa")</f>
        <v>Odesa</v>
      </c>
      <c r="F545" s="5" t="str">
        <f>IFERROR(__xludf.DUMMYFUNCTION("""COMPUTED_VALUE"""),"Italy")</f>
        <v>Italy</v>
      </c>
      <c r="G545" s="5" t="str">
        <f>IFERROR(__xludf.DUMMYFUNCTION("""COMPUTED_VALUE"""),"Sunflower meal")</f>
        <v>Sunflower meal</v>
      </c>
      <c r="H545" s="6">
        <f>IFERROR(__xludf.DUMMYFUNCTION("""COMPUTED_VALUE"""),19500.0)</f>
        <v>19500</v>
      </c>
      <c r="I545" s="7">
        <f>IFERROR(__xludf.DUMMYFUNCTION("""COMPUTED_VALUE"""),44905.0)</f>
        <v>44905</v>
      </c>
      <c r="J545" s="7">
        <f>IFERROR(__xludf.DUMMYFUNCTION("""COMPUTED_VALUE"""),44911.0)</f>
        <v>44911</v>
      </c>
      <c r="K545" s="5" t="str">
        <f>IFERROR(__xludf.DUMMYFUNCTION("""COMPUTED_VALUE"""),"high-income")</f>
        <v>high-income</v>
      </c>
      <c r="L545" s="5" t="str">
        <f>IFERROR(__xludf.DUMMYFUNCTION("""COMPUTED_VALUE"""),"Marshall Islands")</f>
        <v>Marshall Islands</v>
      </c>
      <c r="M545" s="5" t="str">
        <f>IFERROR(__xludf.DUMMYFUNCTION("""COMPUTED_VALUE"""),"Europe &amp; Central Asia")</f>
        <v>Europe &amp; Central Asia</v>
      </c>
      <c r="N545" s="5" t="str">
        <f>IFERROR(__xludf.DUMMYFUNCTION("""COMPUTED_VALUE"""),"Western Europe and Others")</f>
        <v>Western Europe and Others</v>
      </c>
      <c r="O545" s="5" t="str">
        <f>IFERROR(__xludf.DUMMYFUNCTION("""COMPUTED_VALUE"""),"developed")</f>
        <v>developed</v>
      </c>
      <c r="P545" s="5"/>
      <c r="Q545" s="5"/>
    </row>
    <row r="546">
      <c r="A546" s="5" t="str">
        <f>IFERROR(__xludf.DUMMYFUNCTION("""COMPUTED_VALUE"""),"Outbound")</f>
        <v>Outbound</v>
      </c>
      <c r="B546" s="5">
        <f>IFERROR(__xludf.DUMMYFUNCTION("""COMPUTED_VALUE"""),536.0)</f>
        <v>536</v>
      </c>
      <c r="C546" s="5" t="str">
        <f>IFERROR(__xludf.DUMMYFUNCTION("""COMPUTED_VALUE"""),"AGIOS NIKOLAOS")</f>
        <v>AGIOS NIKOLAOS</v>
      </c>
      <c r="D546" s="5">
        <f>IFERROR(__xludf.DUMMYFUNCTION("""COMPUTED_VALUE"""),9502776.0)</f>
        <v>9502776</v>
      </c>
      <c r="E546" s="5" t="str">
        <f>IFERROR(__xludf.DUMMYFUNCTION("""COMPUTED_VALUE"""),"Yuzhny/Pivdennyi")</f>
        <v>Yuzhny/Pivdennyi</v>
      </c>
      <c r="F546" s="5" t="str">
        <f>IFERROR(__xludf.DUMMYFUNCTION("""COMPUTED_VALUE"""),"Belgium")</f>
        <v>Belgium</v>
      </c>
      <c r="G546" s="5" t="str">
        <f>IFERROR(__xludf.DUMMYFUNCTION("""COMPUTED_VALUE"""),"Wheat")</f>
        <v>Wheat</v>
      </c>
      <c r="H546" s="6">
        <f>IFERROR(__xludf.DUMMYFUNCTION("""COMPUTED_VALUE"""),33000.0)</f>
        <v>33000</v>
      </c>
      <c r="I546" s="7">
        <f>IFERROR(__xludf.DUMMYFUNCTION("""COMPUTED_VALUE"""),44905.0)</f>
        <v>44905</v>
      </c>
      <c r="J546" s="7">
        <f>IFERROR(__xludf.DUMMYFUNCTION("""COMPUTED_VALUE"""),44907.0)</f>
        <v>44907</v>
      </c>
      <c r="K546" s="5" t="str">
        <f>IFERROR(__xludf.DUMMYFUNCTION("""COMPUTED_VALUE"""),"high-income")</f>
        <v>high-income</v>
      </c>
      <c r="L546" s="5" t="str">
        <f>IFERROR(__xludf.DUMMYFUNCTION("""COMPUTED_VALUE"""),"Liberia")</f>
        <v>Liberia</v>
      </c>
      <c r="M546" s="5" t="str">
        <f>IFERROR(__xludf.DUMMYFUNCTION("""COMPUTED_VALUE"""),"Europe &amp; Central Asia")</f>
        <v>Europe &amp; Central Asia</v>
      </c>
      <c r="N546" s="5" t="str">
        <f>IFERROR(__xludf.DUMMYFUNCTION("""COMPUTED_VALUE"""),"Western Europe and Others")</f>
        <v>Western Europe and Others</v>
      </c>
      <c r="O546" s="5" t="str">
        <f>IFERROR(__xludf.DUMMYFUNCTION("""COMPUTED_VALUE"""),"developed")</f>
        <v>developed</v>
      </c>
      <c r="P546" s="5"/>
      <c r="Q546" s="5"/>
    </row>
    <row r="547">
      <c r="A547" s="5" t="str">
        <f>IFERROR(__xludf.DUMMYFUNCTION("""COMPUTED_VALUE"""),"Outbound")</f>
        <v>Outbound</v>
      </c>
      <c r="B547" s="5">
        <f>IFERROR(__xludf.DUMMYFUNCTION("""COMPUTED_VALUE"""),535.0)</f>
        <v>535</v>
      </c>
      <c r="C547" s="5" t="str">
        <f>IFERROR(__xludf.DUMMYFUNCTION("""COMPUTED_VALUE"""),"LARA S")</f>
        <v>LARA S</v>
      </c>
      <c r="D547" s="5">
        <f>IFERROR(__xludf.DUMMYFUNCTION("""COMPUTED_VALUE"""),9334301.0)</f>
        <v>9334301</v>
      </c>
      <c r="E547" s="5" t="str">
        <f>IFERROR(__xludf.DUMMYFUNCTION("""COMPUTED_VALUE"""),"Chornomorsk")</f>
        <v>Chornomorsk</v>
      </c>
      <c r="F547" s="5" t="str">
        <f>IFERROR(__xludf.DUMMYFUNCTION("""COMPUTED_VALUE"""),"Türkiye")</f>
        <v>Türkiye</v>
      </c>
      <c r="G547" s="5" t="str">
        <f>IFERROR(__xludf.DUMMYFUNCTION("""COMPUTED_VALUE"""),"Sunflower oil")</f>
        <v>Sunflower oil</v>
      </c>
      <c r="H547" s="6">
        <f>IFERROR(__xludf.DUMMYFUNCTION("""COMPUTED_VALUE"""),5750.0)</f>
        <v>5750</v>
      </c>
      <c r="I547" s="7">
        <f>IFERROR(__xludf.DUMMYFUNCTION("""COMPUTED_VALUE"""),44904.0)</f>
        <v>44904</v>
      </c>
      <c r="J547" s="7">
        <f>IFERROR(__xludf.DUMMYFUNCTION("""COMPUTED_VALUE"""),44911.0)</f>
        <v>44911</v>
      </c>
      <c r="K547" s="5" t="str">
        <f>IFERROR(__xludf.DUMMYFUNCTION("""COMPUTED_VALUE"""),"upper-middle-income")</f>
        <v>upper-middle-income</v>
      </c>
      <c r="L547" s="5" t="str">
        <f>IFERROR(__xludf.DUMMYFUNCTION("""COMPUTED_VALUE"""),"Malta")</f>
        <v>Malta</v>
      </c>
      <c r="M547" s="5" t="str">
        <f>IFERROR(__xludf.DUMMYFUNCTION("""COMPUTED_VALUE"""),"Europe &amp; Central Asia")</f>
        <v>Europe &amp; Central Asia</v>
      </c>
      <c r="N547" s="5" t="str">
        <f>IFERROR(__xludf.DUMMYFUNCTION("""COMPUTED_VALUE"""),"Asia-Pacific")</f>
        <v>Asia-Pacific</v>
      </c>
      <c r="O547" s="5" t="str">
        <f>IFERROR(__xludf.DUMMYFUNCTION("""COMPUTED_VALUE"""),"developing")</f>
        <v>developing</v>
      </c>
      <c r="P547" s="5"/>
      <c r="Q547" s="5"/>
    </row>
    <row r="548">
      <c r="A548" s="5" t="str">
        <f>IFERROR(__xludf.DUMMYFUNCTION("""COMPUTED_VALUE"""),"Outbound")</f>
        <v>Outbound</v>
      </c>
      <c r="B548" s="5">
        <f>IFERROR(__xludf.DUMMYFUNCTION("""COMPUTED_VALUE"""),534.0)</f>
        <v>534</v>
      </c>
      <c r="C548" s="5" t="str">
        <f>IFERROR(__xludf.DUMMYFUNCTION("""COMPUTED_VALUE"""),"AKSON SERIN")</f>
        <v>AKSON SERIN</v>
      </c>
      <c r="D548" s="5">
        <f>IFERROR(__xludf.DUMMYFUNCTION("""COMPUTED_VALUE"""),9275311.0)</f>
        <v>9275311</v>
      </c>
      <c r="E548" s="5" t="str">
        <f>IFERROR(__xludf.DUMMYFUNCTION("""COMPUTED_VALUE"""),"Yuzhny/Pivdennyi")</f>
        <v>Yuzhny/Pivdennyi</v>
      </c>
      <c r="F548" s="5" t="str">
        <f>IFERROR(__xludf.DUMMYFUNCTION("""COMPUTED_VALUE"""),"Egypt")</f>
        <v>Egypt</v>
      </c>
      <c r="G548" s="5" t="str">
        <f>IFERROR(__xludf.DUMMYFUNCTION("""COMPUTED_VALUE"""),"Corn")</f>
        <v>Corn</v>
      </c>
      <c r="H548" s="6">
        <f>IFERROR(__xludf.DUMMYFUNCTION("""COMPUTED_VALUE"""),44350.0)</f>
        <v>44350</v>
      </c>
      <c r="I548" s="7">
        <f>IFERROR(__xludf.DUMMYFUNCTION("""COMPUTED_VALUE"""),44904.0)</f>
        <v>44904</v>
      </c>
      <c r="J548" s="7">
        <f>IFERROR(__xludf.DUMMYFUNCTION("""COMPUTED_VALUE"""),44913.0)</f>
        <v>44913</v>
      </c>
      <c r="K548" s="5" t="str">
        <f>IFERROR(__xludf.DUMMYFUNCTION("""COMPUTED_VALUE"""),"lower-middle income")</f>
        <v>lower-middle income</v>
      </c>
      <c r="L548" s="5" t="str">
        <f>IFERROR(__xludf.DUMMYFUNCTION("""COMPUTED_VALUE"""),"Panama")</f>
        <v>Panama</v>
      </c>
      <c r="M548" s="5" t="str">
        <f>IFERROR(__xludf.DUMMYFUNCTION("""COMPUTED_VALUE"""),"Middle East &amp; North Africa")</f>
        <v>Middle East &amp; North Africa</v>
      </c>
      <c r="N548" s="5" t="str">
        <f>IFERROR(__xludf.DUMMYFUNCTION("""COMPUTED_VALUE"""),"Africa")</f>
        <v>Africa</v>
      </c>
      <c r="O548" s="5" t="str">
        <f>IFERROR(__xludf.DUMMYFUNCTION("""COMPUTED_VALUE"""),"developing")</f>
        <v>developing</v>
      </c>
      <c r="P548" s="5"/>
      <c r="Q548" s="5"/>
    </row>
    <row r="549">
      <c r="A549" s="5" t="str">
        <f>IFERROR(__xludf.DUMMYFUNCTION("""COMPUTED_VALUE"""),"Outbound")</f>
        <v>Outbound</v>
      </c>
      <c r="B549" s="5">
        <f>IFERROR(__xludf.DUMMYFUNCTION("""COMPUTED_VALUE"""),533.0)</f>
        <v>533</v>
      </c>
      <c r="C549" s="5" t="str">
        <f>IFERROR(__xludf.DUMMYFUNCTION("""COMPUTED_VALUE"""),"GUDENA")</f>
        <v>GUDENA</v>
      </c>
      <c r="D549" s="5">
        <f>IFERROR(__xludf.DUMMYFUNCTION("""COMPUTED_VALUE"""),9280196.0)</f>
        <v>9280196</v>
      </c>
      <c r="E549" s="5" t="str">
        <f>IFERROR(__xludf.DUMMYFUNCTION("""COMPUTED_VALUE"""),"Odesa")</f>
        <v>Odesa</v>
      </c>
      <c r="F549" s="5" t="str">
        <f>IFERROR(__xludf.DUMMYFUNCTION("""COMPUTED_VALUE"""),"Bulgaria")</f>
        <v>Bulgaria</v>
      </c>
      <c r="G549" s="5" t="str">
        <f>IFERROR(__xludf.DUMMYFUNCTION("""COMPUTED_VALUE"""),"Sunflower oil")</f>
        <v>Sunflower oil</v>
      </c>
      <c r="H549" s="6">
        <f>IFERROR(__xludf.DUMMYFUNCTION("""COMPUTED_VALUE"""),3900.0)</f>
        <v>3900</v>
      </c>
      <c r="I549" s="7">
        <f>IFERROR(__xludf.DUMMYFUNCTION("""COMPUTED_VALUE"""),44903.0)</f>
        <v>44903</v>
      </c>
      <c r="J549" s="7">
        <f>IFERROR(__xludf.DUMMYFUNCTION("""COMPUTED_VALUE"""),44907.0)</f>
        <v>44907</v>
      </c>
      <c r="K549" s="5" t="str">
        <f>IFERROR(__xludf.DUMMYFUNCTION("""COMPUTED_VALUE"""),"upper-middle-income")</f>
        <v>upper-middle-income</v>
      </c>
      <c r="L549" s="5" t="str">
        <f>IFERROR(__xludf.DUMMYFUNCTION("""COMPUTED_VALUE"""),"Panama")</f>
        <v>Panama</v>
      </c>
      <c r="M549" s="5" t="str">
        <f>IFERROR(__xludf.DUMMYFUNCTION("""COMPUTED_VALUE"""),"Europe &amp; Central Asia")</f>
        <v>Europe &amp; Central Asia</v>
      </c>
      <c r="N549" s="5" t="str">
        <f>IFERROR(__xludf.DUMMYFUNCTION("""COMPUTED_VALUE"""),"Eastern Europe")</f>
        <v>Eastern Europe</v>
      </c>
      <c r="O549" s="5" t="str">
        <f>IFERROR(__xludf.DUMMYFUNCTION("""COMPUTED_VALUE"""),"developed")</f>
        <v>developed</v>
      </c>
      <c r="P549" s="5"/>
      <c r="Q549" s="5"/>
    </row>
    <row r="550">
      <c r="A550" s="5" t="str">
        <f>IFERROR(__xludf.DUMMYFUNCTION("""COMPUTED_VALUE"""),"Outbound")</f>
        <v>Outbound</v>
      </c>
      <c r="B550" s="5">
        <f>IFERROR(__xludf.DUMMYFUNCTION("""COMPUTED_VALUE"""),532.0)</f>
        <v>532</v>
      </c>
      <c r="C550" s="5" t="str">
        <f>IFERROR(__xludf.DUMMYFUNCTION("""COMPUTED_VALUE"""),"NEVA (WFP)")</f>
        <v>NEVA (WFP)</v>
      </c>
      <c r="D550" s="5">
        <f>IFERROR(__xludf.DUMMYFUNCTION("""COMPUTED_VALUE"""),9213753.0)</f>
        <v>9213753</v>
      </c>
      <c r="E550" s="5" t="str">
        <f>IFERROR(__xludf.DUMMYFUNCTION("""COMPUTED_VALUE"""),"Odesa")</f>
        <v>Odesa</v>
      </c>
      <c r="F550" s="5" t="str">
        <f>IFERROR(__xludf.DUMMYFUNCTION("""COMPUTED_VALUE"""),"Somalia")</f>
        <v>Somalia</v>
      </c>
      <c r="G550" s="5" t="str">
        <f>IFERROR(__xludf.DUMMYFUNCTION("""COMPUTED_VALUE"""),"Wheat")</f>
        <v>Wheat</v>
      </c>
      <c r="H550" s="6">
        <f>IFERROR(__xludf.DUMMYFUNCTION("""COMPUTED_VALUE"""),25000.0)</f>
        <v>25000</v>
      </c>
      <c r="I550" s="7">
        <f>IFERROR(__xludf.DUMMYFUNCTION("""COMPUTED_VALUE"""),44903.0)</f>
        <v>44903</v>
      </c>
      <c r="J550" s="7">
        <f>IFERROR(__xludf.DUMMYFUNCTION("""COMPUTED_VALUE"""),44913.0)</f>
        <v>44913</v>
      </c>
      <c r="K550" s="5" t="str">
        <f>IFERROR(__xludf.DUMMYFUNCTION("""COMPUTED_VALUE"""),"low-income")</f>
        <v>low-income</v>
      </c>
      <c r="L550" s="5" t="str">
        <f>IFERROR(__xludf.DUMMYFUNCTION("""COMPUTED_VALUE"""),"Marshall Islands")</f>
        <v>Marshall Islands</v>
      </c>
      <c r="M550" s="5" t="str">
        <f>IFERROR(__xludf.DUMMYFUNCTION("""COMPUTED_VALUE"""),"Sub-Saharan Africa")</f>
        <v>Sub-Saharan Africa</v>
      </c>
      <c r="N550" s="5" t="str">
        <f>IFERROR(__xludf.DUMMYFUNCTION("""COMPUTED_VALUE"""),"Africa")</f>
        <v>Africa</v>
      </c>
      <c r="O550" s="5" t="str">
        <f>IFERROR(__xludf.DUMMYFUNCTION("""COMPUTED_VALUE"""),"developing")</f>
        <v>developing</v>
      </c>
      <c r="P550" s="5" t="str">
        <f>IFERROR(__xludf.DUMMYFUNCTION("""COMPUTED_VALUE"""),"WFP")</f>
        <v>WFP</v>
      </c>
      <c r="Q550" s="5"/>
    </row>
    <row r="551">
      <c r="A551" s="5" t="str">
        <f>IFERROR(__xludf.DUMMYFUNCTION("""COMPUTED_VALUE"""),"Outbound")</f>
        <v>Outbound</v>
      </c>
      <c r="B551" s="5">
        <f>IFERROR(__xludf.DUMMYFUNCTION("""COMPUTED_VALUE"""),531.0)</f>
        <v>531</v>
      </c>
      <c r="C551" s="5" t="str">
        <f>IFERROR(__xludf.DUMMYFUNCTION("""COMPUTED_VALUE"""),"FULMAR S")</f>
        <v>FULMAR S</v>
      </c>
      <c r="D551" s="5">
        <f>IFERROR(__xludf.DUMMYFUNCTION("""COMPUTED_VALUE"""),9370082.0)</f>
        <v>9370082</v>
      </c>
      <c r="E551" s="5" t="str">
        <f>IFERROR(__xludf.DUMMYFUNCTION("""COMPUTED_VALUE"""),"Chornomorsk")</f>
        <v>Chornomorsk</v>
      </c>
      <c r="F551" s="5" t="str">
        <f>IFERROR(__xludf.DUMMYFUNCTION("""COMPUTED_VALUE"""),"Italy")</f>
        <v>Italy</v>
      </c>
      <c r="G551" s="5" t="str">
        <f>IFERROR(__xludf.DUMMYFUNCTION("""COMPUTED_VALUE"""),"Soya beans")</f>
        <v>Soya beans</v>
      </c>
      <c r="H551" s="6">
        <f>IFERROR(__xludf.DUMMYFUNCTION("""COMPUTED_VALUE"""),11500.0)</f>
        <v>11500</v>
      </c>
      <c r="I551" s="7">
        <f>IFERROR(__xludf.DUMMYFUNCTION("""COMPUTED_VALUE"""),44903.0)</f>
        <v>44903</v>
      </c>
      <c r="J551" s="7">
        <f>IFERROR(__xludf.DUMMYFUNCTION("""COMPUTED_VALUE"""),44907.0)</f>
        <v>44907</v>
      </c>
      <c r="K551" s="5" t="str">
        <f>IFERROR(__xludf.DUMMYFUNCTION("""COMPUTED_VALUE"""),"high-income")</f>
        <v>high-income</v>
      </c>
      <c r="L551" s="5" t="str">
        <f>IFERROR(__xludf.DUMMYFUNCTION("""COMPUTED_VALUE"""),"Barbados")</f>
        <v>Barbados</v>
      </c>
      <c r="M551" s="5" t="str">
        <f>IFERROR(__xludf.DUMMYFUNCTION("""COMPUTED_VALUE"""),"Europe &amp; Central Asia")</f>
        <v>Europe &amp; Central Asia</v>
      </c>
      <c r="N551" s="5" t="str">
        <f>IFERROR(__xludf.DUMMYFUNCTION("""COMPUTED_VALUE"""),"Western Europe and Others")</f>
        <v>Western Europe and Others</v>
      </c>
      <c r="O551" s="5" t="str">
        <f>IFERROR(__xludf.DUMMYFUNCTION("""COMPUTED_VALUE"""),"developed")</f>
        <v>developed</v>
      </c>
      <c r="P551" s="5"/>
      <c r="Q551" s="5"/>
    </row>
    <row r="552">
      <c r="A552" s="5" t="str">
        <f>IFERROR(__xludf.DUMMYFUNCTION("""COMPUTED_VALUE"""),"Outbound")</f>
        <v>Outbound</v>
      </c>
      <c r="B552" s="5">
        <f>IFERROR(__xludf.DUMMYFUNCTION("""COMPUTED_VALUE"""),530.0)</f>
        <v>530</v>
      </c>
      <c r="C552" s="5" t="str">
        <f>IFERROR(__xludf.DUMMYFUNCTION("""COMPUTED_VALUE"""),"AEOLIAN VISION")</f>
        <v>AEOLIAN VISION</v>
      </c>
      <c r="D552" s="5">
        <f>IFERROR(__xludf.DUMMYFUNCTION("""COMPUTED_VALUE"""),9483554.0)</f>
        <v>9483554</v>
      </c>
      <c r="E552" s="5" t="str">
        <f>IFERROR(__xludf.DUMMYFUNCTION("""COMPUTED_VALUE"""),"Chornomorsk")</f>
        <v>Chornomorsk</v>
      </c>
      <c r="F552" s="5" t="str">
        <f>IFERROR(__xludf.DUMMYFUNCTION("""COMPUTED_VALUE"""),"China")</f>
        <v>China</v>
      </c>
      <c r="G552" s="5" t="str">
        <f>IFERROR(__xludf.DUMMYFUNCTION("""COMPUTED_VALUE"""),"Corn")</f>
        <v>Corn</v>
      </c>
      <c r="H552" s="6">
        <f>IFERROR(__xludf.DUMMYFUNCTION("""COMPUTED_VALUE"""),67100.0)</f>
        <v>67100</v>
      </c>
      <c r="I552" s="7">
        <f>IFERROR(__xludf.DUMMYFUNCTION("""COMPUTED_VALUE"""),44903.0)</f>
        <v>44903</v>
      </c>
      <c r="J552" s="7">
        <f>IFERROR(__xludf.DUMMYFUNCTION("""COMPUTED_VALUE"""),44907.0)</f>
        <v>44907</v>
      </c>
      <c r="K552" s="5" t="str">
        <f>IFERROR(__xludf.DUMMYFUNCTION("""COMPUTED_VALUE"""),"upper-middle-income")</f>
        <v>upper-middle-income</v>
      </c>
      <c r="L552" s="5" t="str">
        <f>IFERROR(__xludf.DUMMYFUNCTION("""COMPUTED_VALUE"""),"Marshall Islands")</f>
        <v>Marshall Islands</v>
      </c>
      <c r="M552" s="5" t="str">
        <f>IFERROR(__xludf.DUMMYFUNCTION("""COMPUTED_VALUE"""),"East Asia &amp; Pacific")</f>
        <v>East Asia &amp; Pacific</v>
      </c>
      <c r="N552" s="5" t="str">
        <f>IFERROR(__xludf.DUMMYFUNCTION("""COMPUTED_VALUE"""),"Asia-Pacific")</f>
        <v>Asia-Pacific</v>
      </c>
      <c r="O552" s="5" t="str">
        <f>IFERROR(__xludf.DUMMYFUNCTION("""COMPUTED_VALUE"""),"developing")</f>
        <v>developing</v>
      </c>
      <c r="P552" s="5"/>
      <c r="Q552" s="5"/>
    </row>
    <row r="553">
      <c r="A553" s="5" t="str">
        <f>IFERROR(__xludf.DUMMYFUNCTION("""COMPUTED_VALUE"""),"Outbound")</f>
        <v>Outbound</v>
      </c>
      <c r="B553" s="5">
        <f>IFERROR(__xludf.DUMMYFUNCTION("""COMPUTED_VALUE"""),529.0)</f>
        <v>529</v>
      </c>
      <c r="C553" s="5" t="str">
        <f>IFERROR(__xludf.DUMMYFUNCTION("""COMPUTED_VALUE"""),"XIN FENG")</f>
        <v>XIN FENG</v>
      </c>
      <c r="D553" s="5">
        <f>IFERROR(__xludf.DUMMYFUNCTION("""COMPUTED_VALUE"""),9286920.0)</f>
        <v>9286920</v>
      </c>
      <c r="E553" s="5" t="str">
        <f>IFERROR(__xludf.DUMMYFUNCTION("""COMPUTED_VALUE"""),"Yuzhny/Pivdennyi")</f>
        <v>Yuzhny/Pivdennyi</v>
      </c>
      <c r="F553" s="5" t="str">
        <f>IFERROR(__xludf.DUMMYFUNCTION("""COMPUTED_VALUE"""),"Belgium")</f>
        <v>Belgium</v>
      </c>
      <c r="G553" s="5" t="str">
        <f>IFERROR(__xludf.DUMMYFUNCTION("""COMPUTED_VALUE"""),"Rapeseed")</f>
        <v>Rapeseed</v>
      </c>
      <c r="H553" s="6">
        <f>IFERROR(__xludf.DUMMYFUNCTION("""COMPUTED_VALUE"""),58250.0)</f>
        <v>58250</v>
      </c>
      <c r="I553" s="7">
        <f>IFERROR(__xludf.DUMMYFUNCTION("""COMPUTED_VALUE"""),44902.0)</f>
        <v>44902</v>
      </c>
      <c r="J553" s="7">
        <f>IFERROR(__xludf.DUMMYFUNCTION("""COMPUTED_VALUE"""),44911.0)</f>
        <v>44911</v>
      </c>
      <c r="K553" s="5" t="str">
        <f>IFERROR(__xludf.DUMMYFUNCTION("""COMPUTED_VALUE"""),"high-income")</f>
        <v>high-income</v>
      </c>
      <c r="L553" s="5" t="str">
        <f>IFERROR(__xludf.DUMMYFUNCTION("""COMPUTED_VALUE"""),"Liberia")</f>
        <v>Liberia</v>
      </c>
      <c r="M553" s="5" t="str">
        <f>IFERROR(__xludf.DUMMYFUNCTION("""COMPUTED_VALUE"""),"Europe &amp; Central Asia")</f>
        <v>Europe &amp; Central Asia</v>
      </c>
      <c r="N553" s="5" t="str">
        <f>IFERROR(__xludf.DUMMYFUNCTION("""COMPUTED_VALUE"""),"Western Europe and Others")</f>
        <v>Western Europe and Others</v>
      </c>
      <c r="O553" s="5" t="str">
        <f>IFERROR(__xludf.DUMMYFUNCTION("""COMPUTED_VALUE"""),"developed")</f>
        <v>developed</v>
      </c>
      <c r="P553" s="5"/>
      <c r="Q553" s="5"/>
    </row>
    <row r="554">
      <c r="A554" s="5" t="str">
        <f>IFERROR(__xludf.DUMMYFUNCTION("""COMPUTED_VALUE"""),"Outbound")</f>
        <v>Outbound</v>
      </c>
      <c r="B554" s="5">
        <f>IFERROR(__xludf.DUMMYFUNCTION("""COMPUTED_VALUE"""),528.0)</f>
        <v>528</v>
      </c>
      <c r="C554" s="5" t="str">
        <f>IFERROR(__xludf.DUMMYFUNCTION("""COMPUTED_VALUE"""),"MOAYAD Y")</f>
        <v>MOAYAD Y</v>
      </c>
      <c r="D554" s="5">
        <f>IFERROR(__xludf.DUMMYFUNCTION("""COMPUTED_VALUE"""),9135482.0)</f>
        <v>9135482</v>
      </c>
      <c r="E554" s="5" t="str">
        <f>IFERROR(__xludf.DUMMYFUNCTION("""COMPUTED_VALUE"""),"Chornomorsk")</f>
        <v>Chornomorsk</v>
      </c>
      <c r="F554" s="5" t="str">
        <f>IFERROR(__xludf.DUMMYFUNCTION("""COMPUTED_VALUE"""),"Türkiye")</f>
        <v>Türkiye</v>
      </c>
      <c r="G554" s="5" t="str">
        <f>IFERROR(__xludf.DUMMYFUNCTION("""COMPUTED_VALUE"""),"Wheat")</f>
        <v>Wheat</v>
      </c>
      <c r="H554" s="6">
        <f>IFERROR(__xludf.DUMMYFUNCTION("""COMPUTED_VALUE"""),22500.0)</f>
        <v>22500</v>
      </c>
      <c r="I554" s="7">
        <f>IFERROR(__xludf.DUMMYFUNCTION("""COMPUTED_VALUE"""),44901.0)</f>
        <v>44901</v>
      </c>
      <c r="J554" s="7">
        <f>IFERROR(__xludf.DUMMYFUNCTION("""COMPUTED_VALUE"""),44910.0)</f>
        <v>44910</v>
      </c>
      <c r="K554" s="5" t="str">
        <f>IFERROR(__xludf.DUMMYFUNCTION("""COMPUTED_VALUE"""),"upper-middle-income")</f>
        <v>upper-middle-income</v>
      </c>
      <c r="L554" s="5" t="str">
        <f>IFERROR(__xludf.DUMMYFUNCTION("""COMPUTED_VALUE"""),"Comoros")</f>
        <v>Comoros</v>
      </c>
      <c r="M554" s="5" t="str">
        <f>IFERROR(__xludf.DUMMYFUNCTION("""COMPUTED_VALUE"""),"Europe &amp; Central Asia")</f>
        <v>Europe &amp; Central Asia</v>
      </c>
      <c r="N554" s="5" t="str">
        <f>IFERROR(__xludf.DUMMYFUNCTION("""COMPUTED_VALUE"""),"Asia-Pacific")</f>
        <v>Asia-Pacific</v>
      </c>
      <c r="O554" s="5" t="str">
        <f>IFERROR(__xludf.DUMMYFUNCTION("""COMPUTED_VALUE"""),"developing")</f>
        <v>developing</v>
      </c>
      <c r="P554" s="5"/>
      <c r="Q554" s="5"/>
    </row>
    <row r="555">
      <c r="A555" s="5" t="str">
        <f>IFERROR(__xludf.DUMMYFUNCTION("""COMPUTED_VALUE"""),"Outbound")</f>
        <v>Outbound</v>
      </c>
      <c r="B555" s="5">
        <f>IFERROR(__xludf.DUMMYFUNCTION("""COMPUTED_VALUE"""),527.0)</f>
        <v>527</v>
      </c>
      <c r="C555" s="5" t="str">
        <f>IFERROR(__xludf.DUMMYFUNCTION("""COMPUTED_VALUE"""),"SUGAR")</f>
        <v>SUGAR</v>
      </c>
      <c r="D555" s="5">
        <f>IFERROR(__xludf.DUMMYFUNCTION("""COMPUTED_VALUE"""),9251547.0)</f>
        <v>9251547</v>
      </c>
      <c r="E555" s="5" t="str">
        <f>IFERROR(__xludf.DUMMYFUNCTION("""COMPUTED_VALUE"""),"Yuzhny/Pivdennyi")</f>
        <v>Yuzhny/Pivdennyi</v>
      </c>
      <c r="F555" s="5" t="str">
        <f>IFERROR(__xludf.DUMMYFUNCTION("""COMPUTED_VALUE"""),"India")</f>
        <v>India</v>
      </c>
      <c r="G555" s="5" t="str">
        <f>IFERROR(__xludf.DUMMYFUNCTION("""COMPUTED_VALUE"""),"Sunflower oil")</f>
        <v>Sunflower oil</v>
      </c>
      <c r="H555" s="6">
        <f>IFERROR(__xludf.DUMMYFUNCTION("""COMPUTED_VALUE"""),37500.0)</f>
        <v>37500</v>
      </c>
      <c r="I555" s="7">
        <f>IFERROR(__xludf.DUMMYFUNCTION("""COMPUTED_VALUE"""),44901.0)</f>
        <v>44901</v>
      </c>
      <c r="J555" s="7">
        <f>IFERROR(__xludf.DUMMYFUNCTION("""COMPUTED_VALUE"""),44910.0)</f>
        <v>44910</v>
      </c>
      <c r="K555" s="5" t="str">
        <f>IFERROR(__xludf.DUMMYFUNCTION("""COMPUTED_VALUE"""),"lower-middle income")</f>
        <v>lower-middle income</v>
      </c>
      <c r="L555" s="5" t="str">
        <f>IFERROR(__xludf.DUMMYFUNCTION("""COMPUTED_VALUE"""),"Liberia")</f>
        <v>Liberia</v>
      </c>
      <c r="M555" s="5" t="str">
        <f>IFERROR(__xludf.DUMMYFUNCTION("""COMPUTED_VALUE"""),"South Asia")</f>
        <v>South Asia</v>
      </c>
      <c r="N555" s="5" t="str">
        <f>IFERROR(__xludf.DUMMYFUNCTION("""COMPUTED_VALUE"""),"Asia-Pacific")</f>
        <v>Asia-Pacific</v>
      </c>
      <c r="O555" s="5" t="str">
        <f>IFERROR(__xludf.DUMMYFUNCTION("""COMPUTED_VALUE"""),"developing")</f>
        <v>developing</v>
      </c>
      <c r="P555" s="5"/>
      <c r="Q555" s="5"/>
    </row>
    <row r="556">
      <c r="A556" s="5" t="str">
        <f>IFERROR(__xludf.DUMMYFUNCTION("""COMPUTED_VALUE"""),"Outbound")</f>
        <v>Outbound</v>
      </c>
      <c r="B556" s="5">
        <f>IFERROR(__xludf.DUMMYFUNCTION("""COMPUTED_VALUE"""),526.0)</f>
        <v>526</v>
      </c>
      <c r="C556" s="5" t="str">
        <f>IFERROR(__xludf.DUMMYFUNCTION("""COMPUTED_VALUE"""),"ALEXANDROS III")</f>
        <v>ALEXANDROS III</v>
      </c>
      <c r="D556" s="5">
        <f>IFERROR(__xludf.DUMMYFUNCTION("""COMPUTED_VALUE"""),9575436.0)</f>
        <v>9575436</v>
      </c>
      <c r="E556" s="5" t="str">
        <f>IFERROR(__xludf.DUMMYFUNCTION("""COMPUTED_VALUE"""),"Chornomorsk")</f>
        <v>Chornomorsk</v>
      </c>
      <c r="F556" s="5" t="str">
        <f>IFERROR(__xludf.DUMMYFUNCTION("""COMPUTED_VALUE"""),"Spain")</f>
        <v>Spain</v>
      </c>
      <c r="G556" s="5" t="str">
        <f>IFERROR(__xludf.DUMMYFUNCTION("""COMPUTED_VALUE"""),"Corn")</f>
        <v>Corn</v>
      </c>
      <c r="H556" s="6">
        <f>IFERROR(__xludf.DUMMYFUNCTION("""COMPUTED_VALUE"""),31050.0)</f>
        <v>31050</v>
      </c>
      <c r="I556" s="7">
        <f>IFERROR(__xludf.DUMMYFUNCTION("""COMPUTED_VALUE"""),44901.0)</f>
        <v>44901</v>
      </c>
      <c r="J556" s="7">
        <f>IFERROR(__xludf.DUMMYFUNCTION("""COMPUTED_VALUE"""),44907.0)</f>
        <v>44907</v>
      </c>
      <c r="K556" s="5" t="str">
        <f>IFERROR(__xludf.DUMMYFUNCTION("""COMPUTED_VALUE"""),"high-income")</f>
        <v>high-income</v>
      </c>
      <c r="L556" s="5" t="str">
        <f>IFERROR(__xludf.DUMMYFUNCTION("""COMPUTED_VALUE"""),"Marshall Islands")</f>
        <v>Marshall Islands</v>
      </c>
      <c r="M556" s="5" t="str">
        <f>IFERROR(__xludf.DUMMYFUNCTION("""COMPUTED_VALUE"""),"Europe &amp; Central Asia")</f>
        <v>Europe &amp; Central Asia</v>
      </c>
      <c r="N556" s="5" t="str">
        <f>IFERROR(__xludf.DUMMYFUNCTION("""COMPUTED_VALUE"""),"Western Europe and Others")</f>
        <v>Western Europe and Others</v>
      </c>
      <c r="O556" s="5" t="str">
        <f>IFERROR(__xludf.DUMMYFUNCTION("""COMPUTED_VALUE"""),"developed")</f>
        <v>developed</v>
      </c>
      <c r="P556" s="5"/>
      <c r="Q556" s="5"/>
    </row>
    <row r="557">
      <c r="A557" s="5" t="str">
        <f>IFERROR(__xludf.DUMMYFUNCTION("""COMPUTED_VALUE"""),"Outbound")</f>
        <v>Outbound</v>
      </c>
      <c r="B557" s="5">
        <f>IFERROR(__xludf.DUMMYFUNCTION("""COMPUTED_VALUE"""),525.0)</f>
        <v>525</v>
      </c>
      <c r="C557" s="5" t="str">
        <f>IFERROR(__xludf.DUMMYFUNCTION("""COMPUTED_VALUE"""),"BC RAEDA")</f>
        <v>BC RAEDA</v>
      </c>
      <c r="D557" s="5">
        <f>IFERROR(__xludf.DUMMYFUNCTION("""COMPUTED_VALUE"""),9487598.0)</f>
        <v>9487598</v>
      </c>
      <c r="E557" s="5" t="str">
        <f>IFERROR(__xludf.DUMMYFUNCTION("""COMPUTED_VALUE"""),"Odesa")</f>
        <v>Odesa</v>
      </c>
      <c r="F557" s="5" t="str">
        <f>IFERROR(__xludf.DUMMYFUNCTION("""COMPUTED_VALUE"""),"Italy")</f>
        <v>Italy</v>
      </c>
      <c r="G557" s="5" t="str">
        <f>IFERROR(__xludf.DUMMYFUNCTION("""COMPUTED_VALUE"""),"Corn")</f>
        <v>Corn</v>
      </c>
      <c r="H557" s="6">
        <f>IFERROR(__xludf.DUMMYFUNCTION("""COMPUTED_VALUE"""),21955.0)</f>
        <v>21955</v>
      </c>
      <c r="I557" s="7">
        <f>IFERROR(__xludf.DUMMYFUNCTION("""COMPUTED_VALUE"""),44900.0)</f>
        <v>44900</v>
      </c>
      <c r="J557" s="7">
        <f>IFERROR(__xludf.DUMMYFUNCTION("""COMPUTED_VALUE"""),44909.0)</f>
        <v>44909</v>
      </c>
      <c r="K557" s="5" t="str">
        <f>IFERROR(__xludf.DUMMYFUNCTION("""COMPUTED_VALUE"""),"high-income")</f>
        <v>high-income</v>
      </c>
      <c r="L557" s="5" t="str">
        <f>IFERROR(__xludf.DUMMYFUNCTION("""COMPUTED_VALUE"""),"Barbados")</f>
        <v>Barbados</v>
      </c>
      <c r="M557" s="5" t="str">
        <f>IFERROR(__xludf.DUMMYFUNCTION("""COMPUTED_VALUE"""),"Europe &amp; Central Asia")</f>
        <v>Europe &amp; Central Asia</v>
      </c>
      <c r="N557" s="5" t="str">
        <f>IFERROR(__xludf.DUMMYFUNCTION("""COMPUTED_VALUE"""),"Western Europe and Others")</f>
        <v>Western Europe and Others</v>
      </c>
      <c r="O557" s="5" t="str">
        <f>IFERROR(__xludf.DUMMYFUNCTION("""COMPUTED_VALUE"""),"developed")</f>
        <v>developed</v>
      </c>
      <c r="P557" s="5"/>
      <c r="Q557" s="5"/>
    </row>
    <row r="558">
      <c r="A558" s="5" t="str">
        <f>IFERROR(__xludf.DUMMYFUNCTION("""COMPUTED_VALUE"""),"Outbound")</f>
        <v>Outbound</v>
      </c>
      <c r="B558" s="5">
        <f>IFERROR(__xludf.DUMMYFUNCTION("""COMPUTED_VALUE"""),524.0)</f>
        <v>524</v>
      </c>
      <c r="C558" s="5" t="str">
        <f>IFERROR(__xludf.DUMMYFUNCTION("""COMPUTED_VALUE"""),"JUNIPER")</f>
        <v>JUNIPER</v>
      </c>
      <c r="D558" s="5">
        <f>IFERROR(__xludf.DUMMYFUNCTION("""COMPUTED_VALUE"""),9451238.0)</f>
        <v>9451238</v>
      </c>
      <c r="E558" s="5" t="str">
        <f>IFERROR(__xludf.DUMMYFUNCTION("""COMPUTED_VALUE"""),"Yuzhny/Pivdennyi")</f>
        <v>Yuzhny/Pivdennyi</v>
      </c>
      <c r="F558" s="5" t="str">
        <f>IFERROR(__xludf.DUMMYFUNCTION("""COMPUTED_VALUE"""),"Israel")</f>
        <v>Israel</v>
      </c>
      <c r="G558" s="5" t="str">
        <f>IFERROR(__xludf.DUMMYFUNCTION("""COMPUTED_VALUE"""),"Wheat")</f>
        <v>Wheat</v>
      </c>
      <c r="H558" s="6">
        <f>IFERROR(__xludf.DUMMYFUNCTION("""COMPUTED_VALUE"""),30000.0)</f>
        <v>30000</v>
      </c>
      <c r="I558" s="7">
        <f>IFERROR(__xludf.DUMMYFUNCTION("""COMPUTED_VALUE"""),44899.0)</f>
        <v>44899</v>
      </c>
      <c r="J558" s="7">
        <f>IFERROR(__xludf.DUMMYFUNCTION("""COMPUTED_VALUE"""),44910.0)</f>
        <v>44910</v>
      </c>
      <c r="K558" s="5" t="str">
        <f>IFERROR(__xludf.DUMMYFUNCTION("""COMPUTED_VALUE"""),"high-income")</f>
        <v>high-income</v>
      </c>
      <c r="L558" s="5" t="str">
        <f>IFERROR(__xludf.DUMMYFUNCTION("""COMPUTED_VALUE"""),"Bahamas")</f>
        <v>Bahamas</v>
      </c>
      <c r="M558" s="5" t="str">
        <f>IFERROR(__xludf.DUMMYFUNCTION("""COMPUTED_VALUE"""),"Middle East &amp; North Africa")</f>
        <v>Middle East &amp; North Africa</v>
      </c>
      <c r="N558" s="5" t="str">
        <f>IFERROR(__xludf.DUMMYFUNCTION("""COMPUTED_VALUE"""),"Western Europe and Others")</f>
        <v>Western Europe and Others</v>
      </c>
      <c r="O558" s="5" t="str">
        <f>IFERROR(__xludf.DUMMYFUNCTION("""COMPUTED_VALUE"""),"developed")</f>
        <v>developed</v>
      </c>
      <c r="P558" s="5"/>
      <c r="Q558" s="5"/>
    </row>
    <row r="559">
      <c r="A559" s="5" t="str">
        <f>IFERROR(__xludf.DUMMYFUNCTION("""COMPUTED_VALUE"""),"Outbound +")</f>
        <v>Outbound +</v>
      </c>
      <c r="B559" s="5">
        <f>IFERROR(__xludf.DUMMYFUNCTION("""COMPUTED_VALUE"""),524.0)</f>
        <v>524</v>
      </c>
      <c r="C559" s="5" t="str">
        <f>IFERROR(__xludf.DUMMYFUNCTION("""COMPUTED_VALUE"""),"JUNIPER")</f>
        <v>JUNIPER</v>
      </c>
      <c r="D559" s="5">
        <f>IFERROR(__xludf.DUMMYFUNCTION("""COMPUTED_VALUE"""),9451238.0)</f>
        <v>9451238</v>
      </c>
      <c r="E559" s="5" t="str">
        <f>IFERROR(__xludf.DUMMYFUNCTION("""COMPUTED_VALUE"""),"Yuzhny/Pivdennyi")</f>
        <v>Yuzhny/Pivdennyi</v>
      </c>
      <c r="F559" s="5" t="str">
        <f>IFERROR(__xludf.DUMMYFUNCTION("""COMPUTED_VALUE"""),"Israel")</f>
        <v>Israel</v>
      </c>
      <c r="G559" s="5" t="str">
        <f>IFERROR(__xludf.DUMMYFUNCTION("""COMPUTED_VALUE"""),"Barley")</f>
        <v>Barley</v>
      </c>
      <c r="H559" s="6">
        <f>IFERROR(__xludf.DUMMYFUNCTION("""COMPUTED_VALUE"""),25000.0)</f>
        <v>25000</v>
      </c>
      <c r="I559" s="7">
        <f>IFERROR(__xludf.DUMMYFUNCTION("""COMPUTED_VALUE"""),44899.0)</f>
        <v>44899</v>
      </c>
      <c r="J559" s="7">
        <f>IFERROR(__xludf.DUMMYFUNCTION("""COMPUTED_VALUE"""),44910.0)</f>
        <v>44910</v>
      </c>
      <c r="K559" s="5" t="str">
        <f>IFERROR(__xludf.DUMMYFUNCTION("""COMPUTED_VALUE"""),"high-income")</f>
        <v>high-income</v>
      </c>
      <c r="L559" s="5" t="str">
        <f>IFERROR(__xludf.DUMMYFUNCTION("""COMPUTED_VALUE"""),"Bahamas")</f>
        <v>Bahamas</v>
      </c>
      <c r="M559" s="5" t="str">
        <f>IFERROR(__xludf.DUMMYFUNCTION("""COMPUTED_VALUE"""),"Middle East &amp; North Africa")</f>
        <v>Middle East &amp; North Africa</v>
      </c>
      <c r="N559" s="5" t="str">
        <f>IFERROR(__xludf.DUMMYFUNCTION("""COMPUTED_VALUE"""),"Western Europe and Others")</f>
        <v>Western Europe and Others</v>
      </c>
      <c r="O559" s="5" t="str">
        <f>IFERROR(__xludf.DUMMYFUNCTION("""COMPUTED_VALUE"""),"developed")</f>
        <v>developed</v>
      </c>
      <c r="P559" s="5"/>
      <c r="Q559" s="5"/>
    </row>
    <row r="560">
      <c r="A560" s="5" t="str">
        <f>IFERROR(__xludf.DUMMYFUNCTION("""COMPUTED_VALUE"""),"Outbound")</f>
        <v>Outbound</v>
      </c>
      <c r="B560" s="5">
        <f>IFERROR(__xludf.DUMMYFUNCTION("""COMPUTED_VALUE"""),523.0)</f>
        <v>523</v>
      </c>
      <c r="C560" s="5" t="str">
        <f>IFERROR(__xludf.DUMMYFUNCTION("""COMPUTED_VALUE"""),"BC CALLISTO (WFP)")</f>
        <v>BC CALLISTO (WFP)</v>
      </c>
      <c r="D560" s="5">
        <f>IFERROR(__xludf.DUMMYFUNCTION("""COMPUTED_VALUE"""),9400916.0)</f>
        <v>9400916</v>
      </c>
      <c r="E560" s="5" t="str">
        <f>IFERROR(__xludf.DUMMYFUNCTION("""COMPUTED_VALUE"""),"Chornomorsk")</f>
        <v>Chornomorsk</v>
      </c>
      <c r="F560" s="5" t="str">
        <f>IFERROR(__xludf.DUMMYFUNCTION("""COMPUTED_VALUE"""),"Ethiopia")</f>
        <v>Ethiopia</v>
      </c>
      <c r="G560" s="5" t="str">
        <f>IFERROR(__xludf.DUMMYFUNCTION("""COMPUTED_VALUE"""),"Wheat")</f>
        <v>Wheat</v>
      </c>
      <c r="H560" s="6">
        <f>IFERROR(__xludf.DUMMYFUNCTION("""COMPUTED_VALUE"""),30000.0)</f>
        <v>30000</v>
      </c>
      <c r="I560" s="7">
        <f>IFERROR(__xludf.DUMMYFUNCTION("""COMPUTED_VALUE"""),44899.0)</f>
        <v>44899</v>
      </c>
      <c r="J560" s="7">
        <f>IFERROR(__xludf.DUMMYFUNCTION("""COMPUTED_VALUE"""),44909.0)</f>
        <v>44909</v>
      </c>
      <c r="K560" s="5" t="str">
        <f>IFERROR(__xludf.DUMMYFUNCTION("""COMPUTED_VALUE"""),"low-income")</f>
        <v>low-income</v>
      </c>
      <c r="L560" s="5" t="str">
        <f>IFERROR(__xludf.DUMMYFUNCTION("""COMPUTED_VALUE"""),"Barbados")</f>
        <v>Barbados</v>
      </c>
      <c r="M560" s="5" t="str">
        <f>IFERROR(__xludf.DUMMYFUNCTION("""COMPUTED_VALUE"""),"Sub-Saharan Africa")</f>
        <v>Sub-Saharan Africa</v>
      </c>
      <c r="N560" s="5" t="str">
        <f>IFERROR(__xludf.DUMMYFUNCTION("""COMPUTED_VALUE"""),"Africa")</f>
        <v>Africa</v>
      </c>
      <c r="O560" s="5" t="str">
        <f>IFERROR(__xludf.DUMMYFUNCTION("""COMPUTED_VALUE"""),"developing")</f>
        <v>developing</v>
      </c>
      <c r="P560" s="5" t="str">
        <f>IFERROR(__xludf.DUMMYFUNCTION("""COMPUTED_VALUE"""),"WFP")</f>
        <v>WFP</v>
      </c>
      <c r="Q560" s="5"/>
    </row>
    <row r="561">
      <c r="A561" s="5" t="str">
        <f>IFERROR(__xludf.DUMMYFUNCTION("""COMPUTED_VALUE"""),"Outbound")</f>
        <v>Outbound</v>
      </c>
      <c r="B561" s="5">
        <f>IFERROR(__xludf.DUMMYFUNCTION("""COMPUTED_VALUE"""),522.0)</f>
        <v>522</v>
      </c>
      <c r="C561" s="5" t="str">
        <f>IFERROR(__xludf.DUMMYFUNCTION("""COMPUTED_VALUE"""),"AKSON SARA")</f>
        <v>AKSON SARA</v>
      </c>
      <c r="D561" s="5">
        <f>IFERROR(__xludf.DUMMYFUNCTION("""COMPUTED_VALUE"""),9475739.0)</f>
        <v>9475739</v>
      </c>
      <c r="E561" s="5" t="str">
        <f>IFERROR(__xludf.DUMMYFUNCTION("""COMPUTED_VALUE"""),"Odesa")</f>
        <v>Odesa</v>
      </c>
      <c r="F561" s="5" t="str">
        <f>IFERROR(__xludf.DUMMYFUNCTION("""COMPUTED_VALUE"""),"Türkiye")</f>
        <v>Türkiye</v>
      </c>
      <c r="G561" s="5" t="str">
        <f>IFERROR(__xludf.DUMMYFUNCTION("""COMPUTED_VALUE"""),"Corn")</f>
        <v>Corn</v>
      </c>
      <c r="H561" s="6">
        <f>IFERROR(__xludf.DUMMYFUNCTION("""COMPUTED_VALUE"""),30400.0)</f>
        <v>30400</v>
      </c>
      <c r="I561" s="7">
        <f>IFERROR(__xludf.DUMMYFUNCTION("""COMPUTED_VALUE"""),44899.0)</f>
        <v>44899</v>
      </c>
      <c r="J561" s="7">
        <f>IFERROR(__xludf.DUMMYFUNCTION("""COMPUTED_VALUE"""),44906.0)</f>
        <v>44906</v>
      </c>
      <c r="K561" s="5" t="str">
        <f>IFERROR(__xludf.DUMMYFUNCTION("""COMPUTED_VALUE"""),"upper-middle-income")</f>
        <v>upper-middle-income</v>
      </c>
      <c r="L561" s="5" t="str">
        <f>IFERROR(__xludf.DUMMYFUNCTION("""COMPUTED_VALUE"""),"Panama")</f>
        <v>Panama</v>
      </c>
      <c r="M561" s="5" t="str">
        <f>IFERROR(__xludf.DUMMYFUNCTION("""COMPUTED_VALUE"""),"Europe &amp; Central Asia")</f>
        <v>Europe &amp; Central Asia</v>
      </c>
      <c r="N561" s="5" t="str">
        <f>IFERROR(__xludf.DUMMYFUNCTION("""COMPUTED_VALUE"""),"Asia-Pacific")</f>
        <v>Asia-Pacific</v>
      </c>
      <c r="O561" s="5" t="str">
        <f>IFERROR(__xludf.DUMMYFUNCTION("""COMPUTED_VALUE"""),"developing")</f>
        <v>developing</v>
      </c>
      <c r="P561" s="5"/>
      <c r="Q561" s="5"/>
    </row>
    <row r="562">
      <c r="A562" s="5" t="str">
        <f>IFERROR(__xludf.DUMMYFUNCTION("""COMPUTED_VALUE"""),"Outbound")</f>
        <v>Outbound</v>
      </c>
      <c r="B562" s="5">
        <f>IFERROR(__xludf.DUMMYFUNCTION("""COMPUTED_VALUE"""),521.0)</f>
        <v>521</v>
      </c>
      <c r="C562" s="5" t="str">
        <f>IFERROR(__xludf.DUMMYFUNCTION("""COMPUTED_VALUE"""),"RIZABEY")</f>
        <v>RIZABEY</v>
      </c>
      <c r="D562" s="5">
        <f>IFERROR(__xludf.DUMMYFUNCTION("""COMPUTED_VALUE"""),9197117.0)</f>
        <v>9197117</v>
      </c>
      <c r="E562" s="5" t="str">
        <f>IFERROR(__xludf.DUMMYFUNCTION("""COMPUTED_VALUE"""),"Yuzhny/Pivdennyi")</f>
        <v>Yuzhny/Pivdennyi</v>
      </c>
      <c r="F562" s="5" t="str">
        <f>IFERROR(__xludf.DUMMYFUNCTION("""COMPUTED_VALUE"""),"Spain")</f>
        <v>Spain</v>
      </c>
      <c r="G562" s="5" t="str">
        <f>IFERROR(__xludf.DUMMYFUNCTION("""COMPUTED_VALUE"""),"Corn")</f>
        <v>Corn</v>
      </c>
      <c r="H562" s="6">
        <f>IFERROR(__xludf.DUMMYFUNCTION("""COMPUTED_VALUE"""),13026.0)</f>
        <v>13026</v>
      </c>
      <c r="I562" s="7">
        <f>IFERROR(__xludf.DUMMYFUNCTION("""COMPUTED_VALUE"""),44898.0)</f>
        <v>44898</v>
      </c>
      <c r="J562" s="7">
        <f>IFERROR(__xludf.DUMMYFUNCTION("""COMPUTED_VALUE"""),44904.0)</f>
        <v>44904</v>
      </c>
      <c r="K562" s="5" t="str">
        <f>IFERROR(__xludf.DUMMYFUNCTION("""COMPUTED_VALUE"""),"high-income")</f>
        <v>high-income</v>
      </c>
      <c r="L562" s="5" t="str">
        <f>IFERROR(__xludf.DUMMYFUNCTION("""COMPUTED_VALUE"""),"Panama")</f>
        <v>Panama</v>
      </c>
      <c r="M562" s="5" t="str">
        <f>IFERROR(__xludf.DUMMYFUNCTION("""COMPUTED_VALUE"""),"Europe &amp; Central Asia")</f>
        <v>Europe &amp; Central Asia</v>
      </c>
      <c r="N562" s="5" t="str">
        <f>IFERROR(__xludf.DUMMYFUNCTION("""COMPUTED_VALUE"""),"Western Europe and Others")</f>
        <v>Western Europe and Others</v>
      </c>
      <c r="O562" s="5" t="str">
        <f>IFERROR(__xludf.DUMMYFUNCTION("""COMPUTED_VALUE"""),"developed")</f>
        <v>developed</v>
      </c>
      <c r="P562" s="5"/>
      <c r="Q562" s="5"/>
    </row>
    <row r="563">
      <c r="A563" s="5" t="str">
        <f>IFERROR(__xludf.DUMMYFUNCTION("""COMPUTED_VALUE"""),"Outbound +")</f>
        <v>Outbound +</v>
      </c>
      <c r="B563" s="5">
        <f>IFERROR(__xludf.DUMMYFUNCTION("""COMPUTED_VALUE"""),521.0)</f>
        <v>521</v>
      </c>
      <c r="C563" s="5" t="str">
        <f>IFERROR(__xludf.DUMMYFUNCTION("""COMPUTED_VALUE"""),"RIZABEY")</f>
        <v>RIZABEY</v>
      </c>
      <c r="D563" s="5">
        <f>IFERROR(__xludf.DUMMYFUNCTION("""COMPUTED_VALUE"""),9197117.0)</f>
        <v>9197117</v>
      </c>
      <c r="E563" s="5" t="str">
        <f>IFERROR(__xludf.DUMMYFUNCTION("""COMPUTED_VALUE"""),"Yuzhny/Pivdennyi")</f>
        <v>Yuzhny/Pivdennyi</v>
      </c>
      <c r="F563" s="5" t="str">
        <f>IFERROR(__xludf.DUMMYFUNCTION("""COMPUTED_VALUE"""),"Spain")</f>
        <v>Spain</v>
      </c>
      <c r="G563" s="5" t="str">
        <f>IFERROR(__xludf.DUMMYFUNCTION("""COMPUTED_VALUE"""),"Wheat")</f>
        <v>Wheat</v>
      </c>
      <c r="H563" s="6">
        <f>IFERROR(__xludf.DUMMYFUNCTION("""COMPUTED_VALUE"""),8954.0)</f>
        <v>8954</v>
      </c>
      <c r="I563" s="7">
        <f>IFERROR(__xludf.DUMMYFUNCTION("""COMPUTED_VALUE"""),44898.0)</f>
        <v>44898</v>
      </c>
      <c r="J563" s="7">
        <f>IFERROR(__xludf.DUMMYFUNCTION("""COMPUTED_VALUE"""),44904.0)</f>
        <v>44904</v>
      </c>
      <c r="K563" s="5" t="str">
        <f>IFERROR(__xludf.DUMMYFUNCTION("""COMPUTED_VALUE"""),"high-income")</f>
        <v>high-income</v>
      </c>
      <c r="L563" s="5" t="str">
        <f>IFERROR(__xludf.DUMMYFUNCTION("""COMPUTED_VALUE"""),"Panama")</f>
        <v>Panama</v>
      </c>
      <c r="M563" s="5" t="str">
        <f>IFERROR(__xludf.DUMMYFUNCTION("""COMPUTED_VALUE"""),"Europe &amp; Central Asia")</f>
        <v>Europe &amp; Central Asia</v>
      </c>
      <c r="N563" s="5" t="str">
        <f>IFERROR(__xludf.DUMMYFUNCTION("""COMPUTED_VALUE"""),"Western Europe and Others")</f>
        <v>Western Europe and Others</v>
      </c>
      <c r="O563" s="5" t="str">
        <f>IFERROR(__xludf.DUMMYFUNCTION("""COMPUTED_VALUE"""),"developed")</f>
        <v>developed</v>
      </c>
      <c r="P563" s="5"/>
      <c r="Q563" s="5"/>
    </row>
    <row r="564">
      <c r="A564" s="5" t="str">
        <f>IFERROR(__xludf.DUMMYFUNCTION("""COMPUTED_VALUE"""),"Outbound")</f>
        <v>Outbound</v>
      </c>
      <c r="B564" s="5">
        <f>IFERROR(__xludf.DUMMYFUNCTION("""COMPUTED_VALUE"""),520.0)</f>
        <v>520</v>
      </c>
      <c r="C564" s="5" t="str">
        <f>IFERROR(__xludf.DUMMYFUNCTION("""COMPUTED_VALUE"""),"QUEEN SARA")</f>
        <v>QUEEN SARA</v>
      </c>
      <c r="D564" s="5">
        <f>IFERROR(__xludf.DUMMYFUNCTION("""COMPUTED_VALUE"""),9132507.0)</f>
        <v>9132507</v>
      </c>
      <c r="E564" s="5" t="str">
        <f>IFERROR(__xludf.DUMMYFUNCTION("""COMPUTED_VALUE"""),"Odesa")</f>
        <v>Odesa</v>
      </c>
      <c r="F564" s="5" t="str">
        <f>IFERROR(__xludf.DUMMYFUNCTION("""COMPUTED_VALUE"""),"Italy")</f>
        <v>Italy</v>
      </c>
      <c r="G564" s="5" t="str">
        <f>IFERROR(__xludf.DUMMYFUNCTION("""COMPUTED_VALUE"""),"Wheat")</f>
        <v>Wheat</v>
      </c>
      <c r="H564" s="6">
        <f>IFERROR(__xludf.DUMMYFUNCTION("""COMPUTED_VALUE"""),13500.0)</f>
        <v>13500</v>
      </c>
      <c r="I564" s="7">
        <f>IFERROR(__xludf.DUMMYFUNCTION("""COMPUTED_VALUE"""),44898.0)</f>
        <v>44898</v>
      </c>
      <c r="J564" s="7">
        <f>IFERROR(__xludf.DUMMYFUNCTION("""COMPUTED_VALUE"""),44907.0)</f>
        <v>44907</v>
      </c>
      <c r="K564" s="5" t="str">
        <f>IFERROR(__xludf.DUMMYFUNCTION("""COMPUTED_VALUE"""),"high-income")</f>
        <v>high-income</v>
      </c>
      <c r="L564" s="5" t="str">
        <f>IFERROR(__xludf.DUMMYFUNCTION("""COMPUTED_VALUE"""),"Sierra Leone")</f>
        <v>Sierra Leone</v>
      </c>
      <c r="M564" s="5" t="str">
        <f>IFERROR(__xludf.DUMMYFUNCTION("""COMPUTED_VALUE"""),"Europe &amp; Central Asia")</f>
        <v>Europe &amp; Central Asia</v>
      </c>
      <c r="N564" s="5" t="str">
        <f>IFERROR(__xludf.DUMMYFUNCTION("""COMPUTED_VALUE"""),"Western Europe and Others")</f>
        <v>Western Europe and Others</v>
      </c>
      <c r="O564" s="5" t="str">
        <f>IFERROR(__xludf.DUMMYFUNCTION("""COMPUTED_VALUE"""),"developed")</f>
        <v>developed</v>
      </c>
      <c r="P564" s="5"/>
      <c r="Q564" s="5"/>
    </row>
    <row r="565">
      <c r="A565" s="5" t="str">
        <f>IFERROR(__xludf.DUMMYFUNCTION("""COMPUTED_VALUE"""),"Outbound")</f>
        <v>Outbound</v>
      </c>
      <c r="B565" s="5">
        <f>IFERROR(__xludf.DUMMYFUNCTION("""COMPUTED_VALUE"""),519.0)</f>
        <v>519</v>
      </c>
      <c r="C565" s="5" t="str">
        <f>IFERROR(__xludf.DUMMYFUNCTION("""COMPUTED_VALUE"""),"CPT DIMITRIOS S")</f>
        <v>CPT DIMITRIOS S</v>
      </c>
      <c r="D565" s="5">
        <f>IFERROR(__xludf.DUMMYFUNCTION("""COMPUTED_VALUE"""),9221592.0)</f>
        <v>9221592</v>
      </c>
      <c r="E565" s="5" t="str">
        <f>IFERROR(__xludf.DUMMYFUNCTION("""COMPUTED_VALUE"""),"Odesa")</f>
        <v>Odesa</v>
      </c>
      <c r="F565" s="5" t="str">
        <f>IFERROR(__xludf.DUMMYFUNCTION("""COMPUTED_VALUE"""),"Portugal")</f>
        <v>Portugal</v>
      </c>
      <c r="G565" s="5" t="str">
        <f>IFERROR(__xludf.DUMMYFUNCTION("""COMPUTED_VALUE"""),"Corn")</f>
        <v>Corn</v>
      </c>
      <c r="H565" s="6">
        <f>IFERROR(__xludf.DUMMYFUNCTION("""COMPUTED_VALUE"""),56449.0)</f>
        <v>56449</v>
      </c>
      <c r="I565" s="7">
        <f>IFERROR(__xludf.DUMMYFUNCTION("""COMPUTED_VALUE"""),44898.0)</f>
        <v>44898</v>
      </c>
      <c r="J565" s="7">
        <f>IFERROR(__xludf.DUMMYFUNCTION("""COMPUTED_VALUE"""),44905.0)</f>
        <v>44905</v>
      </c>
      <c r="K565" s="5" t="str">
        <f>IFERROR(__xludf.DUMMYFUNCTION("""COMPUTED_VALUE"""),"high-income")</f>
        <v>high-income</v>
      </c>
      <c r="L565" s="5" t="str">
        <f>IFERROR(__xludf.DUMMYFUNCTION("""COMPUTED_VALUE"""),"Liberia")</f>
        <v>Liberia</v>
      </c>
      <c r="M565" s="5" t="str">
        <f>IFERROR(__xludf.DUMMYFUNCTION("""COMPUTED_VALUE"""),"Europe &amp; Central Asia")</f>
        <v>Europe &amp; Central Asia</v>
      </c>
      <c r="N565" s="5" t="str">
        <f>IFERROR(__xludf.DUMMYFUNCTION("""COMPUTED_VALUE"""),"Western Europe and Others")</f>
        <v>Western Europe and Others</v>
      </c>
      <c r="O565" s="5" t="str">
        <f>IFERROR(__xludf.DUMMYFUNCTION("""COMPUTED_VALUE"""),"developed")</f>
        <v>developed</v>
      </c>
      <c r="P565" s="5"/>
      <c r="Q565" s="5"/>
    </row>
    <row r="566">
      <c r="A566" s="5" t="str">
        <f>IFERROR(__xludf.DUMMYFUNCTION("""COMPUTED_VALUE"""),"Outbound +")</f>
        <v>Outbound +</v>
      </c>
      <c r="B566" s="5">
        <f>IFERROR(__xludf.DUMMYFUNCTION("""COMPUTED_VALUE"""),519.0)</f>
        <v>519</v>
      </c>
      <c r="C566" s="5" t="str">
        <f>IFERROR(__xludf.DUMMYFUNCTION("""COMPUTED_VALUE"""),"CPT DIMITRIOS S")</f>
        <v>CPT DIMITRIOS S</v>
      </c>
      <c r="D566" s="5">
        <f>IFERROR(__xludf.DUMMYFUNCTION("""COMPUTED_VALUE"""),9221592.0)</f>
        <v>9221592</v>
      </c>
      <c r="E566" s="5" t="str">
        <f>IFERROR(__xludf.DUMMYFUNCTION("""COMPUTED_VALUE"""),"Odesa")</f>
        <v>Odesa</v>
      </c>
      <c r="F566" s="5" t="str">
        <f>IFERROR(__xludf.DUMMYFUNCTION("""COMPUTED_VALUE"""),"Portugal")</f>
        <v>Portugal</v>
      </c>
      <c r="G566" s="5" t="str">
        <f>IFERROR(__xludf.DUMMYFUNCTION("""COMPUTED_VALUE"""),"Barley")</f>
        <v>Barley</v>
      </c>
      <c r="H566" s="6">
        <f>IFERROR(__xludf.DUMMYFUNCTION("""COMPUTED_VALUE"""),8543.0)</f>
        <v>8543</v>
      </c>
      <c r="I566" s="7">
        <f>IFERROR(__xludf.DUMMYFUNCTION("""COMPUTED_VALUE"""),44898.0)</f>
        <v>44898</v>
      </c>
      <c r="J566" s="7">
        <f>IFERROR(__xludf.DUMMYFUNCTION("""COMPUTED_VALUE"""),44905.0)</f>
        <v>44905</v>
      </c>
      <c r="K566" s="5" t="str">
        <f>IFERROR(__xludf.DUMMYFUNCTION("""COMPUTED_VALUE"""),"high-income")</f>
        <v>high-income</v>
      </c>
      <c r="L566" s="5" t="str">
        <f>IFERROR(__xludf.DUMMYFUNCTION("""COMPUTED_VALUE"""),"Liberia")</f>
        <v>Liberia</v>
      </c>
      <c r="M566" s="5" t="str">
        <f>IFERROR(__xludf.DUMMYFUNCTION("""COMPUTED_VALUE"""),"Europe &amp; Central Asia")</f>
        <v>Europe &amp; Central Asia</v>
      </c>
      <c r="N566" s="5" t="str">
        <f>IFERROR(__xludf.DUMMYFUNCTION("""COMPUTED_VALUE"""),"Western Europe and Others")</f>
        <v>Western Europe and Others</v>
      </c>
      <c r="O566" s="5" t="str">
        <f>IFERROR(__xludf.DUMMYFUNCTION("""COMPUTED_VALUE"""),"developed")</f>
        <v>developed</v>
      </c>
      <c r="P566" s="5"/>
      <c r="Q566" s="5"/>
    </row>
    <row r="567">
      <c r="A567" s="5" t="str">
        <f>IFERROR(__xludf.DUMMYFUNCTION("""COMPUTED_VALUE"""),"Outbound")</f>
        <v>Outbound</v>
      </c>
      <c r="B567" s="5">
        <f>IFERROR(__xludf.DUMMYFUNCTION("""COMPUTED_VALUE"""),518.0)</f>
        <v>518</v>
      </c>
      <c r="C567" s="5" t="str">
        <f>IFERROR(__xludf.DUMMYFUNCTION("""COMPUTED_VALUE"""),"BR GLORY")</f>
        <v>BR GLORY</v>
      </c>
      <c r="D567" s="5">
        <f>IFERROR(__xludf.DUMMYFUNCTION("""COMPUTED_VALUE"""),8907577.0)</f>
        <v>8907577</v>
      </c>
      <c r="E567" s="5" t="str">
        <f>IFERROR(__xludf.DUMMYFUNCTION("""COMPUTED_VALUE"""),"Chornomorsk")</f>
        <v>Chornomorsk</v>
      </c>
      <c r="F567" s="5" t="str">
        <f>IFERROR(__xludf.DUMMYFUNCTION("""COMPUTED_VALUE"""),"Egypt")</f>
        <v>Egypt</v>
      </c>
      <c r="G567" s="5" t="str">
        <f>IFERROR(__xludf.DUMMYFUNCTION("""COMPUTED_VALUE"""),"Wheat")</f>
        <v>Wheat</v>
      </c>
      <c r="H567" s="6">
        <f>IFERROR(__xludf.DUMMYFUNCTION("""COMPUTED_VALUE"""),21500.0)</f>
        <v>21500</v>
      </c>
      <c r="I567" s="7">
        <f>IFERROR(__xludf.DUMMYFUNCTION("""COMPUTED_VALUE"""),44898.0)</f>
        <v>44898</v>
      </c>
      <c r="J567" s="7">
        <f>IFERROR(__xludf.DUMMYFUNCTION("""COMPUTED_VALUE"""),44915.0)</f>
        <v>44915</v>
      </c>
      <c r="K567" s="5" t="str">
        <f>IFERROR(__xludf.DUMMYFUNCTION("""COMPUTED_VALUE"""),"lower-middle income")</f>
        <v>lower-middle income</v>
      </c>
      <c r="L567" s="5" t="str">
        <f>IFERROR(__xludf.DUMMYFUNCTION("""COMPUTED_VALUE"""),"Cook Islands")</f>
        <v>Cook Islands</v>
      </c>
      <c r="M567" s="5" t="str">
        <f>IFERROR(__xludf.DUMMYFUNCTION("""COMPUTED_VALUE"""),"Middle East &amp; North Africa")</f>
        <v>Middle East &amp; North Africa</v>
      </c>
      <c r="N567" s="5" t="str">
        <f>IFERROR(__xludf.DUMMYFUNCTION("""COMPUTED_VALUE"""),"Africa")</f>
        <v>Africa</v>
      </c>
      <c r="O567" s="5" t="str">
        <f>IFERROR(__xludf.DUMMYFUNCTION("""COMPUTED_VALUE"""),"developing")</f>
        <v>developing</v>
      </c>
      <c r="P567" s="5"/>
      <c r="Q567" s="5"/>
    </row>
    <row r="568">
      <c r="A568" s="5" t="str">
        <f>IFERROR(__xludf.DUMMYFUNCTION("""COMPUTED_VALUE"""),"Outbound")</f>
        <v>Outbound</v>
      </c>
      <c r="B568" s="5">
        <f>IFERROR(__xludf.DUMMYFUNCTION("""COMPUTED_VALUE"""),517.0)</f>
        <v>517</v>
      </c>
      <c r="C568" s="5" t="str">
        <f>IFERROR(__xludf.DUMMYFUNCTION("""COMPUTED_VALUE"""),"ATHINA II")</f>
        <v>ATHINA II</v>
      </c>
      <c r="D568" s="5">
        <f>IFERROR(__xludf.DUMMYFUNCTION("""COMPUTED_VALUE"""),9724192.0)</f>
        <v>9724192</v>
      </c>
      <c r="E568" s="5" t="str">
        <f>IFERROR(__xludf.DUMMYFUNCTION("""COMPUTED_VALUE"""),"Yuzhny/Pivdennyi")</f>
        <v>Yuzhny/Pivdennyi</v>
      </c>
      <c r="F568" s="5" t="str">
        <f>IFERROR(__xludf.DUMMYFUNCTION("""COMPUTED_VALUE"""),"China")</f>
        <v>China</v>
      </c>
      <c r="G568" s="5" t="str">
        <f>IFERROR(__xludf.DUMMYFUNCTION("""COMPUTED_VALUE"""),"Corn")</f>
        <v>Corn</v>
      </c>
      <c r="H568" s="6">
        <f>IFERROR(__xludf.DUMMYFUNCTION("""COMPUTED_VALUE"""),70920.0)</f>
        <v>70920</v>
      </c>
      <c r="I568" s="7">
        <f>IFERROR(__xludf.DUMMYFUNCTION("""COMPUTED_VALUE"""),44898.0)</f>
        <v>44898</v>
      </c>
      <c r="J568" s="7">
        <f>IFERROR(__xludf.DUMMYFUNCTION("""COMPUTED_VALUE"""),44915.0)</f>
        <v>44915</v>
      </c>
      <c r="K568" s="5" t="str">
        <f>IFERROR(__xludf.DUMMYFUNCTION("""COMPUTED_VALUE"""),"upper-middle-income")</f>
        <v>upper-middle-income</v>
      </c>
      <c r="L568" s="5" t="str">
        <f>IFERROR(__xludf.DUMMYFUNCTION("""COMPUTED_VALUE"""),"Greece")</f>
        <v>Greece</v>
      </c>
      <c r="M568" s="5" t="str">
        <f>IFERROR(__xludf.DUMMYFUNCTION("""COMPUTED_VALUE"""),"East Asia &amp; Pacific")</f>
        <v>East Asia &amp; Pacific</v>
      </c>
      <c r="N568" s="5" t="str">
        <f>IFERROR(__xludf.DUMMYFUNCTION("""COMPUTED_VALUE"""),"Asia-Pacific")</f>
        <v>Asia-Pacific</v>
      </c>
      <c r="O568" s="5" t="str">
        <f>IFERROR(__xludf.DUMMYFUNCTION("""COMPUTED_VALUE"""),"developing")</f>
        <v>developing</v>
      </c>
      <c r="P568" s="5"/>
      <c r="Q568" s="5"/>
    </row>
    <row r="569">
      <c r="A569" s="5" t="str">
        <f>IFERROR(__xludf.DUMMYFUNCTION("""COMPUTED_VALUE"""),"Outbound")</f>
        <v>Outbound</v>
      </c>
      <c r="B569" s="5">
        <f>IFERROR(__xludf.DUMMYFUNCTION("""COMPUTED_VALUE"""),516.0)</f>
        <v>516</v>
      </c>
      <c r="C569" s="5" t="str">
        <f>IFERROR(__xludf.DUMMYFUNCTION("""COMPUTED_VALUE"""),"SEA INSPIRATION")</f>
        <v>SEA INSPIRATION</v>
      </c>
      <c r="D569" s="5">
        <f>IFERROR(__xludf.DUMMYFUNCTION("""COMPUTED_VALUE"""),9604782.0)</f>
        <v>9604782</v>
      </c>
      <c r="E569" s="5" t="str">
        <f>IFERROR(__xludf.DUMMYFUNCTION("""COMPUTED_VALUE"""),"Odesa")</f>
        <v>Odesa</v>
      </c>
      <c r="F569" s="5" t="str">
        <f>IFERROR(__xludf.DUMMYFUNCTION("""COMPUTED_VALUE"""),"Italy")</f>
        <v>Italy</v>
      </c>
      <c r="G569" s="5" t="str">
        <f>IFERROR(__xludf.DUMMYFUNCTION("""COMPUTED_VALUE"""),"Corn")</f>
        <v>Corn</v>
      </c>
      <c r="H569" s="6">
        <f>IFERROR(__xludf.DUMMYFUNCTION("""COMPUTED_VALUE"""),26500.0)</f>
        <v>26500</v>
      </c>
      <c r="I569" s="7">
        <f>IFERROR(__xludf.DUMMYFUNCTION("""COMPUTED_VALUE"""),44897.0)</f>
        <v>44897</v>
      </c>
      <c r="J569" s="7">
        <f>IFERROR(__xludf.DUMMYFUNCTION("""COMPUTED_VALUE"""),44903.0)</f>
        <v>44903</v>
      </c>
      <c r="K569" s="5" t="str">
        <f>IFERROR(__xludf.DUMMYFUNCTION("""COMPUTED_VALUE"""),"high-income")</f>
        <v>high-income</v>
      </c>
      <c r="L569" s="5" t="str">
        <f>IFERROR(__xludf.DUMMYFUNCTION("""COMPUTED_VALUE"""),"Panama")</f>
        <v>Panama</v>
      </c>
      <c r="M569" s="5" t="str">
        <f>IFERROR(__xludf.DUMMYFUNCTION("""COMPUTED_VALUE"""),"Europe &amp; Central Asia")</f>
        <v>Europe &amp; Central Asia</v>
      </c>
      <c r="N569" s="5" t="str">
        <f>IFERROR(__xludf.DUMMYFUNCTION("""COMPUTED_VALUE"""),"Western Europe and Others")</f>
        <v>Western Europe and Others</v>
      </c>
      <c r="O569" s="5" t="str">
        <f>IFERROR(__xludf.DUMMYFUNCTION("""COMPUTED_VALUE"""),"developed")</f>
        <v>developed</v>
      </c>
      <c r="P569" s="5"/>
      <c r="Q569" s="5"/>
    </row>
    <row r="570">
      <c r="A570" s="5" t="str">
        <f>IFERROR(__xludf.DUMMYFUNCTION("""COMPUTED_VALUE"""),"Outbound")</f>
        <v>Outbound</v>
      </c>
      <c r="B570" s="5">
        <f>IFERROR(__xludf.DUMMYFUNCTION("""COMPUTED_VALUE"""),515.0)</f>
        <v>515</v>
      </c>
      <c r="C570" s="5" t="str">
        <f>IFERROR(__xludf.DUMMYFUNCTION("""COMPUTED_VALUE"""),"LADY PERLA")</f>
        <v>LADY PERLA</v>
      </c>
      <c r="D570" s="5">
        <f>IFERROR(__xludf.DUMMYFUNCTION("""COMPUTED_VALUE"""),9149732.0)</f>
        <v>9149732</v>
      </c>
      <c r="E570" s="5" t="str">
        <f>IFERROR(__xludf.DUMMYFUNCTION("""COMPUTED_VALUE"""),"Yuzhny/Pivdennyi")</f>
        <v>Yuzhny/Pivdennyi</v>
      </c>
      <c r="F570" s="5" t="str">
        <f>IFERROR(__xludf.DUMMYFUNCTION("""COMPUTED_VALUE"""),"Bulgaria")</f>
        <v>Bulgaria</v>
      </c>
      <c r="G570" s="5" t="str">
        <f>IFERROR(__xludf.DUMMYFUNCTION("""COMPUTED_VALUE"""),"Sunflower meal")</f>
        <v>Sunflower meal</v>
      </c>
      <c r="H570" s="6">
        <f>IFERROR(__xludf.DUMMYFUNCTION("""COMPUTED_VALUE"""),17000.0)</f>
        <v>17000</v>
      </c>
      <c r="I570" s="7">
        <f>IFERROR(__xludf.DUMMYFUNCTION("""COMPUTED_VALUE"""),44897.0)</f>
        <v>44897</v>
      </c>
      <c r="J570" s="7">
        <f>IFERROR(__xludf.DUMMYFUNCTION("""COMPUTED_VALUE"""),44905.0)</f>
        <v>44905</v>
      </c>
      <c r="K570" s="5" t="str">
        <f>IFERROR(__xludf.DUMMYFUNCTION("""COMPUTED_VALUE"""),"upper-middle-income")</f>
        <v>upper-middle-income</v>
      </c>
      <c r="L570" s="5" t="str">
        <f>IFERROR(__xludf.DUMMYFUNCTION("""COMPUTED_VALUE"""),"Liberia")</f>
        <v>Liberia</v>
      </c>
      <c r="M570" s="5" t="str">
        <f>IFERROR(__xludf.DUMMYFUNCTION("""COMPUTED_VALUE"""),"Europe &amp; Central Asia")</f>
        <v>Europe &amp; Central Asia</v>
      </c>
      <c r="N570" s="5" t="str">
        <f>IFERROR(__xludf.DUMMYFUNCTION("""COMPUTED_VALUE"""),"Eastern Europe")</f>
        <v>Eastern Europe</v>
      </c>
      <c r="O570" s="5" t="str">
        <f>IFERROR(__xludf.DUMMYFUNCTION("""COMPUTED_VALUE"""),"developed")</f>
        <v>developed</v>
      </c>
      <c r="P570" s="5"/>
      <c r="Q570" s="5"/>
    </row>
    <row r="571">
      <c r="A571" s="5" t="str">
        <f>IFERROR(__xludf.DUMMYFUNCTION("""COMPUTED_VALUE"""),"Outbound")</f>
        <v>Outbound</v>
      </c>
      <c r="B571" s="5">
        <f>IFERROR(__xludf.DUMMYFUNCTION("""COMPUTED_VALUE"""),514.0)</f>
        <v>514</v>
      </c>
      <c r="C571" s="5" t="str">
        <f>IFERROR(__xludf.DUMMYFUNCTION("""COMPUTED_VALUE"""),"ASPASIA LUCK")</f>
        <v>ASPASIA LUCK</v>
      </c>
      <c r="D571" s="5">
        <f>IFERROR(__xludf.DUMMYFUNCTION("""COMPUTED_VALUE"""),9223485.0)</f>
        <v>9223485</v>
      </c>
      <c r="E571" s="5" t="str">
        <f>IFERROR(__xludf.DUMMYFUNCTION("""COMPUTED_VALUE"""),"Odesa")</f>
        <v>Odesa</v>
      </c>
      <c r="F571" s="5" t="str">
        <f>IFERROR(__xludf.DUMMYFUNCTION("""COMPUTED_VALUE"""),"China")</f>
        <v>China</v>
      </c>
      <c r="G571" s="5" t="str">
        <f>IFERROR(__xludf.DUMMYFUNCTION("""COMPUTED_VALUE"""),"Corn")</f>
        <v>Corn</v>
      </c>
      <c r="H571" s="6">
        <f>IFERROR(__xludf.DUMMYFUNCTION("""COMPUTED_VALUE"""),63000.0)</f>
        <v>63000</v>
      </c>
      <c r="I571" s="7">
        <f>IFERROR(__xludf.DUMMYFUNCTION("""COMPUTED_VALUE"""),44897.0)</f>
        <v>44897</v>
      </c>
      <c r="J571" s="7">
        <f>IFERROR(__xludf.DUMMYFUNCTION("""COMPUTED_VALUE"""),44904.0)</f>
        <v>44904</v>
      </c>
      <c r="K571" s="5" t="str">
        <f>IFERROR(__xludf.DUMMYFUNCTION("""COMPUTED_VALUE"""),"upper-middle-income")</f>
        <v>upper-middle-income</v>
      </c>
      <c r="L571" s="5" t="str">
        <f>IFERROR(__xludf.DUMMYFUNCTION("""COMPUTED_VALUE"""),"Liberia")</f>
        <v>Liberia</v>
      </c>
      <c r="M571" s="5" t="str">
        <f>IFERROR(__xludf.DUMMYFUNCTION("""COMPUTED_VALUE"""),"East Asia &amp; Pacific")</f>
        <v>East Asia &amp; Pacific</v>
      </c>
      <c r="N571" s="5" t="str">
        <f>IFERROR(__xludf.DUMMYFUNCTION("""COMPUTED_VALUE"""),"Asia-Pacific")</f>
        <v>Asia-Pacific</v>
      </c>
      <c r="O571" s="5" t="str">
        <f>IFERROR(__xludf.DUMMYFUNCTION("""COMPUTED_VALUE"""),"developing")</f>
        <v>developing</v>
      </c>
      <c r="P571" s="5"/>
      <c r="Q571" s="5"/>
    </row>
    <row r="572">
      <c r="A572" s="5" t="str">
        <f>IFERROR(__xludf.DUMMYFUNCTION("""COMPUTED_VALUE"""),"Outbound")</f>
        <v>Outbound</v>
      </c>
      <c r="B572" s="5">
        <f>IFERROR(__xludf.DUMMYFUNCTION("""COMPUTED_VALUE"""),513.0)</f>
        <v>513</v>
      </c>
      <c r="C572" s="5" t="str">
        <f>IFERROR(__xludf.DUMMYFUNCTION("""COMPUTED_VALUE"""),"TRINITY")</f>
        <v>TRINITY</v>
      </c>
      <c r="D572" s="5">
        <f>IFERROR(__xludf.DUMMYFUNCTION("""COMPUTED_VALUE"""),9545716.0)</f>
        <v>9545716</v>
      </c>
      <c r="E572" s="5" t="str">
        <f>IFERROR(__xludf.DUMMYFUNCTION("""COMPUTED_VALUE"""),"Yuzhny/Pivdennyi")</f>
        <v>Yuzhny/Pivdennyi</v>
      </c>
      <c r="F572" s="5" t="str">
        <f>IFERROR(__xludf.DUMMYFUNCTION("""COMPUTED_VALUE"""),"Israel")</f>
        <v>Israel</v>
      </c>
      <c r="G572" s="5" t="str">
        <f>IFERROR(__xludf.DUMMYFUNCTION("""COMPUTED_VALUE"""),"Corn")</f>
        <v>Corn</v>
      </c>
      <c r="H572" s="6">
        <f>IFERROR(__xludf.DUMMYFUNCTION("""COMPUTED_VALUE"""),53820.0)</f>
        <v>53820</v>
      </c>
      <c r="I572" s="7">
        <f>IFERROR(__xludf.DUMMYFUNCTION("""COMPUTED_VALUE"""),44896.0)</f>
        <v>44896</v>
      </c>
      <c r="J572" s="7">
        <f>IFERROR(__xludf.DUMMYFUNCTION("""COMPUTED_VALUE"""),44903.0)</f>
        <v>44903</v>
      </c>
      <c r="K572" s="5" t="str">
        <f>IFERROR(__xludf.DUMMYFUNCTION("""COMPUTED_VALUE"""),"high-income")</f>
        <v>high-income</v>
      </c>
      <c r="L572" s="5" t="str">
        <f>IFERROR(__xludf.DUMMYFUNCTION("""COMPUTED_VALUE"""),"Liberia")</f>
        <v>Liberia</v>
      </c>
      <c r="M572" s="5" t="str">
        <f>IFERROR(__xludf.DUMMYFUNCTION("""COMPUTED_VALUE"""),"Middle East &amp; North Africa")</f>
        <v>Middle East &amp; North Africa</v>
      </c>
      <c r="N572" s="5" t="str">
        <f>IFERROR(__xludf.DUMMYFUNCTION("""COMPUTED_VALUE"""),"Western Europe and Others")</f>
        <v>Western Europe and Others</v>
      </c>
      <c r="O572" s="5" t="str">
        <f>IFERROR(__xludf.DUMMYFUNCTION("""COMPUTED_VALUE"""),"developed")</f>
        <v>developed</v>
      </c>
      <c r="P572" s="5"/>
      <c r="Q572" s="5"/>
    </row>
    <row r="573">
      <c r="A573" s="5" t="str">
        <f>IFERROR(__xludf.DUMMYFUNCTION("""COMPUTED_VALUE"""),"Outbound")</f>
        <v>Outbound</v>
      </c>
      <c r="B573" s="5">
        <f>IFERROR(__xludf.DUMMYFUNCTION("""COMPUTED_VALUE"""),512.0)</f>
        <v>512</v>
      </c>
      <c r="C573" s="5" t="str">
        <f>IFERROR(__xludf.DUMMYFUNCTION("""COMPUTED_VALUE"""),"STAR ATLAS")</f>
        <v>STAR ATLAS</v>
      </c>
      <c r="D573" s="5">
        <f>IFERROR(__xludf.DUMMYFUNCTION("""COMPUTED_VALUE"""),9828302.0)</f>
        <v>9828302</v>
      </c>
      <c r="E573" s="5" t="str">
        <f>IFERROR(__xludf.DUMMYFUNCTION("""COMPUTED_VALUE"""),"Yuzhny/Pivdennyi")</f>
        <v>Yuzhny/Pivdennyi</v>
      </c>
      <c r="F573" s="5" t="str">
        <f>IFERROR(__xludf.DUMMYFUNCTION("""COMPUTED_VALUE"""),"China")</f>
        <v>China</v>
      </c>
      <c r="G573" s="5" t="str">
        <f>IFERROR(__xludf.DUMMYFUNCTION("""COMPUTED_VALUE"""),"Sunflower meal")</f>
        <v>Sunflower meal</v>
      </c>
      <c r="H573" s="6">
        <f>IFERROR(__xludf.DUMMYFUNCTION("""COMPUTED_VALUE"""),35719.0)</f>
        <v>35719</v>
      </c>
      <c r="I573" s="7">
        <f>IFERROR(__xludf.DUMMYFUNCTION("""COMPUTED_VALUE"""),44896.0)</f>
        <v>44896</v>
      </c>
      <c r="J573" s="7">
        <f>IFERROR(__xludf.DUMMYFUNCTION("""COMPUTED_VALUE"""),44902.0)</f>
        <v>44902</v>
      </c>
      <c r="K573" s="5" t="str">
        <f>IFERROR(__xludf.DUMMYFUNCTION("""COMPUTED_VALUE"""),"upper-middle-income")</f>
        <v>upper-middle-income</v>
      </c>
      <c r="L573" s="5" t="str">
        <f>IFERROR(__xludf.DUMMYFUNCTION("""COMPUTED_VALUE"""),"Bahamas")</f>
        <v>Bahamas</v>
      </c>
      <c r="M573" s="5" t="str">
        <f>IFERROR(__xludf.DUMMYFUNCTION("""COMPUTED_VALUE"""),"East Asia &amp; Pacific")</f>
        <v>East Asia &amp; Pacific</v>
      </c>
      <c r="N573" s="5" t="str">
        <f>IFERROR(__xludf.DUMMYFUNCTION("""COMPUTED_VALUE"""),"Asia-Pacific")</f>
        <v>Asia-Pacific</v>
      </c>
      <c r="O573" s="5" t="str">
        <f>IFERROR(__xludf.DUMMYFUNCTION("""COMPUTED_VALUE"""),"developing")</f>
        <v>developing</v>
      </c>
      <c r="P573" s="5"/>
      <c r="Q573" s="5"/>
    </row>
    <row r="574">
      <c r="A574" s="5" t="str">
        <f>IFERROR(__xludf.DUMMYFUNCTION("""COMPUTED_VALUE"""),"Outbound +")</f>
        <v>Outbound +</v>
      </c>
      <c r="B574" s="5">
        <f>IFERROR(__xludf.DUMMYFUNCTION("""COMPUTED_VALUE"""),512.0)</f>
        <v>512</v>
      </c>
      <c r="C574" s="5" t="str">
        <f>IFERROR(__xludf.DUMMYFUNCTION("""COMPUTED_VALUE"""),"STAR ATLAS")</f>
        <v>STAR ATLAS</v>
      </c>
      <c r="D574" s="5">
        <f>IFERROR(__xludf.DUMMYFUNCTION("""COMPUTED_VALUE"""),9828302.0)</f>
        <v>9828302</v>
      </c>
      <c r="E574" s="5" t="str">
        <f>IFERROR(__xludf.DUMMYFUNCTION("""COMPUTED_VALUE"""),"Yuzhny/Pivdennyi")</f>
        <v>Yuzhny/Pivdennyi</v>
      </c>
      <c r="F574" s="5" t="str">
        <f>IFERROR(__xludf.DUMMYFUNCTION("""COMPUTED_VALUE"""),"China")</f>
        <v>China</v>
      </c>
      <c r="G574" s="5" t="str">
        <f>IFERROR(__xludf.DUMMYFUNCTION("""COMPUTED_VALUE"""),"Corn")</f>
        <v>Corn</v>
      </c>
      <c r="H574" s="6">
        <f>IFERROR(__xludf.DUMMYFUNCTION("""COMPUTED_VALUE"""),31608.0)</f>
        <v>31608</v>
      </c>
      <c r="I574" s="7">
        <f>IFERROR(__xludf.DUMMYFUNCTION("""COMPUTED_VALUE"""),44896.0)</f>
        <v>44896</v>
      </c>
      <c r="J574" s="7">
        <f>IFERROR(__xludf.DUMMYFUNCTION("""COMPUTED_VALUE"""),44902.0)</f>
        <v>44902</v>
      </c>
      <c r="K574" s="5" t="str">
        <f>IFERROR(__xludf.DUMMYFUNCTION("""COMPUTED_VALUE"""),"upper-middle-income")</f>
        <v>upper-middle-income</v>
      </c>
      <c r="L574" s="5" t="str">
        <f>IFERROR(__xludf.DUMMYFUNCTION("""COMPUTED_VALUE"""),"Bahamas")</f>
        <v>Bahamas</v>
      </c>
      <c r="M574" s="5" t="str">
        <f>IFERROR(__xludf.DUMMYFUNCTION("""COMPUTED_VALUE"""),"East Asia &amp; Pacific")</f>
        <v>East Asia &amp; Pacific</v>
      </c>
      <c r="N574" s="5" t="str">
        <f>IFERROR(__xludf.DUMMYFUNCTION("""COMPUTED_VALUE"""),"Asia-Pacific")</f>
        <v>Asia-Pacific</v>
      </c>
      <c r="O574" s="5" t="str">
        <f>IFERROR(__xludf.DUMMYFUNCTION("""COMPUTED_VALUE"""),"developing")</f>
        <v>developing</v>
      </c>
      <c r="P574" s="5"/>
      <c r="Q574" s="5"/>
    </row>
    <row r="575">
      <c r="A575" s="5" t="str">
        <f>IFERROR(__xludf.DUMMYFUNCTION("""COMPUTED_VALUE"""),"Outbound")</f>
        <v>Outbound</v>
      </c>
      <c r="B575" s="5">
        <f>IFERROR(__xludf.DUMMYFUNCTION("""COMPUTED_VALUE"""),511.0)</f>
        <v>511</v>
      </c>
      <c r="C575" s="5" t="str">
        <f>IFERROR(__xludf.DUMMYFUNCTION("""COMPUTED_VALUE"""),"PEACE M")</f>
        <v>PEACE M</v>
      </c>
      <c r="D575" s="5">
        <f>IFERROR(__xludf.DUMMYFUNCTION("""COMPUTED_VALUE"""),9086318.0)</f>
        <v>9086318</v>
      </c>
      <c r="E575" s="5" t="str">
        <f>IFERROR(__xludf.DUMMYFUNCTION("""COMPUTED_VALUE"""),"Chornomorsk")</f>
        <v>Chornomorsk</v>
      </c>
      <c r="F575" s="5" t="str">
        <f>IFERROR(__xludf.DUMMYFUNCTION("""COMPUTED_VALUE"""),"Egypt")</f>
        <v>Egypt</v>
      </c>
      <c r="G575" s="5" t="str">
        <f>IFERROR(__xludf.DUMMYFUNCTION("""COMPUTED_VALUE"""),"Corn")</f>
        <v>Corn</v>
      </c>
      <c r="H575" s="6">
        <f>IFERROR(__xludf.DUMMYFUNCTION("""COMPUTED_VALUE"""),25000.0)</f>
        <v>25000</v>
      </c>
      <c r="I575" s="7">
        <f>IFERROR(__xludf.DUMMYFUNCTION("""COMPUTED_VALUE"""),44896.0)</f>
        <v>44896</v>
      </c>
      <c r="J575" s="7">
        <f>IFERROR(__xludf.DUMMYFUNCTION("""COMPUTED_VALUE"""),44905.0)</f>
        <v>44905</v>
      </c>
      <c r="K575" s="5" t="str">
        <f>IFERROR(__xludf.DUMMYFUNCTION("""COMPUTED_VALUE"""),"lower-middle income")</f>
        <v>lower-middle income</v>
      </c>
      <c r="L575" s="5" t="str">
        <f>IFERROR(__xludf.DUMMYFUNCTION("""COMPUTED_VALUE"""),"Palau")</f>
        <v>Palau</v>
      </c>
      <c r="M575" s="5" t="str">
        <f>IFERROR(__xludf.DUMMYFUNCTION("""COMPUTED_VALUE"""),"Middle East &amp; North Africa")</f>
        <v>Middle East &amp; North Africa</v>
      </c>
      <c r="N575" s="5" t="str">
        <f>IFERROR(__xludf.DUMMYFUNCTION("""COMPUTED_VALUE"""),"Africa")</f>
        <v>Africa</v>
      </c>
      <c r="O575" s="5" t="str">
        <f>IFERROR(__xludf.DUMMYFUNCTION("""COMPUTED_VALUE"""),"developing")</f>
        <v>developing</v>
      </c>
      <c r="P575" s="5"/>
      <c r="Q575" s="5"/>
    </row>
    <row r="576">
      <c r="A576" s="5" t="str">
        <f>IFERROR(__xludf.DUMMYFUNCTION("""COMPUTED_VALUE"""),"Outbound")</f>
        <v>Outbound</v>
      </c>
      <c r="B576" s="5">
        <f>IFERROR(__xludf.DUMMYFUNCTION("""COMPUTED_VALUE"""),510.0)</f>
        <v>510</v>
      </c>
      <c r="C576" s="5" t="str">
        <f>IFERROR(__xludf.DUMMYFUNCTION("""COMPUTED_VALUE"""),"ORIS PRINCESS")</f>
        <v>ORIS PRINCESS</v>
      </c>
      <c r="D576" s="5">
        <f>IFERROR(__xludf.DUMMYFUNCTION("""COMPUTED_VALUE"""),9119907.0)</f>
        <v>9119907</v>
      </c>
      <c r="E576" s="5" t="str">
        <f>IFERROR(__xludf.DUMMYFUNCTION("""COMPUTED_VALUE"""),"Odesa")</f>
        <v>Odesa</v>
      </c>
      <c r="F576" s="5" t="str">
        <f>IFERROR(__xludf.DUMMYFUNCTION("""COMPUTED_VALUE"""),"Greece")</f>
        <v>Greece</v>
      </c>
      <c r="G576" s="5" t="str">
        <f>IFERROR(__xludf.DUMMYFUNCTION("""COMPUTED_VALUE"""),"Wheat")</f>
        <v>Wheat</v>
      </c>
      <c r="H576" s="6">
        <f>IFERROR(__xludf.DUMMYFUNCTION("""COMPUTED_VALUE"""),6300.0)</f>
        <v>6300</v>
      </c>
      <c r="I576" s="7">
        <f>IFERROR(__xludf.DUMMYFUNCTION("""COMPUTED_VALUE"""),44896.0)</f>
        <v>44896</v>
      </c>
      <c r="J576" s="7">
        <f>IFERROR(__xludf.DUMMYFUNCTION("""COMPUTED_VALUE"""),44913.0)</f>
        <v>44913</v>
      </c>
      <c r="K576" s="5" t="str">
        <f>IFERROR(__xludf.DUMMYFUNCTION("""COMPUTED_VALUE"""),"high-income")</f>
        <v>high-income</v>
      </c>
      <c r="L576" s="5" t="str">
        <f>IFERROR(__xludf.DUMMYFUNCTION("""COMPUTED_VALUE"""),"Panama")</f>
        <v>Panama</v>
      </c>
      <c r="M576" s="5" t="str">
        <f>IFERROR(__xludf.DUMMYFUNCTION("""COMPUTED_VALUE"""),"Europe &amp; Central Asia")</f>
        <v>Europe &amp; Central Asia</v>
      </c>
      <c r="N576" s="5" t="str">
        <f>IFERROR(__xludf.DUMMYFUNCTION("""COMPUTED_VALUE"""),"Western Europe and Others")</f>
        <v>Western Europe and Others</v>
      </c>
      <c r="O576" s="5" t="str">
        <f>IFERROR(__xludf.DUMMYFUNCTION("""COMPUTED_VALUE"""),"developed")</f>
        <v>developed</v>
      </c>
      <c r="P576" s="5"/>
      <c r="Q576" s="5"/>
    </row>
    <row r="577">
      <c r="A577" s="5" t="str">
        <f>IFERROR(__xludf.DUMMYFUNCTION("""COMPUTED_VALUE"""),"Outbound")</f>
        <v>Outbound</v>
      </c>
      <c r="B577" s="5">
        <f>IFERROR(__xludf.DUMMYFUNCTION("""COMPUTED_VALUE"""),509.0)</f>
        <v>509</v>
      </c>
      <c r="C577" s="5" t="str">
        <f>IFERROR(__xludf.DUMMYFUNCTION("""COMPUTED_VALUE"""),"NORDIC SKAGEN")</f>
        <v>NORDIC SKAGEN</v>
      </c>
      <c r="D577" s="5">
        <f>IFERROR(__xludf.DUMMYFUNCTION("""COMPUTED_VALUE"""),9489986.0)</f>
        <v>9489986</v>
      </c>
      <c r="E577" s="5" t="str">
        <f>IFERROR(__xludf.DUMMYFUNCTION("""COMPUTED_VALUE"""),"Odesa")</f>
        <v>Odesa</v>
      </c>
      <c r="F577" s="5" t="str">
        <f>IFERROR(__xludf.DUMMYFUNCTION("""COMPUTED_VALUE"""),"Spain")</f>
        <v>Spain</v>
      </c>
      <c r="G577" s="5" t="str">
        <f>IFERROR(__xludf.DUMMYFUNCTION("""COMPUTED_VALUE"""),"Corn")</f>
        <v>Corn</v>
      </c>
      <c r="H577" s="6">
        <f>IFERROR(__xludf.DUMMYFUNCTION("""COMPUTED_VALUE"""),32300.0)</f>
        <v>32300</v>
      </c>
      <c r="I577" s="7">
        <f>IFERROR(__xludf.DUMMYFUNCTION("""COMPUTED_VALUE"""),44896.0)</f>
        <v>44896</v>
      </c>
      <c r="J577" s="7">
        <f>IFERROR(__xludf.DUMMYFUNCTION("""COMPUTED_VALUE"""),44904.0)</f>
        <v>44904</v>
      </c>
      <c r="K577" s="5" t="str">
        <f>IFERROR(__xludf.DUMMYFUNCTION("""COMPUTED_VALUE"""),"high-income")</f>
        <v>high-income</v>
      </c>
      <c r="L577" s="5" t="str">
        <f>IFERROR(__xludf.DUMMYFUNCTION("""COMPUTED_VALUE"""),"Liberia")</f>
        <v>Liberia</v>
      </c>
      <c r="M577" s="5" t="str">
        <f>IFERROR(__xludf.DUMMYFUNCTION("""COMPUTED_VALUE"""),"Europe &amp; Central Asia")</f>
        <v>Europe &amp; Central Asia</v>
      </c>
      <c r="N577" s="5" t="str">
        <f>IFERROR(__xludf.DUMMYFUNCTION("""COMPUTED_VALUE"""),"Western Europe and Others")</f>
        <v>Western Europe and Others</v>
      </c>
      <c r="O577" s="5" t="str">
        <f>IFERROR(__xludf.DUMMYFUNCTION("""COMPUTED_VALUE"""),"developed")</f>
        <v>developed</v>
      </c>
      <c r="P577" s="5"/>
      <c r="Q577" s="5"/>
    </row>
    <row r="578">
      <c r="A578" s="5" t="str">
        <f>IFERROR(__xludf.DUMMYFUNCTION("""COMPUTED_VALUE"""),"Outbound")</f>
        <v>Outbound</v>
      </c>
      <c r="B578" s="5">
        <f>IFERROR(__xludf.DUMMYFUNCTION("""COMPUTED_VALUE"""),508.0)</f>
        <v>508</v>
      </c>
      <c r="C578" s="5" t="str">
        <f>IFERROR(__xludf.DUMMYFUNCTION("""COMPUTED_VALUE"""),"GOLDEN ARSENAL")</f>
        <v>GOLDEN ARSENAL</v>
      </c>
      <c r="D578" s="5">
        <f>IFERROR(__xludf.DUMMYFUNCTION("""COMPUTED_VALUE"""),9493212.0)</f>
        <v>9493212</v>
      </c>
      <c r="E578" s="5" t="str">
        <f>IFERROR(__xludf.DUMMYFUNCTION("""COMPUTED_VALUE"""),"Odesa")</f>
        <v>Odesa</v>
      </c>
      <c r="F578" s="5" t="str">
        <f>IFERROR(__xludf.DUMMYFUNCTION("""COMPUTED_VALUE"""),"Algeria")</f>
        <v>Algeria</v>
      </c>
      <c r="G578" s="5" t="str">
        <f>IFERROR(__xludf.DUMMYFUNCTION("""COMPUTED_VALUE"""),"Wheat")</f>
        <v>Wheat</v>
      </c>
      <c r="H578" s="6">
        <f>IFERROR(__xludf.DUMMYFUNCTION("""COMPUTED_VALUE"""),27000.0)</f>
        <v>27000</v>
      </c>
      <c r="I578" s="7">
        <f>IFERROR(__xludf.DUMMYFUNCTION("""COMPUTED_VALUE"""),44896.0)</f>
        <v>44896</v>
      </c>
      <c r="J578" s="7">
        <f>IFERROR(__xludf.DUMMYFUNCTION("""COMPUTED_VALUE"""),44902.0)</f>
        <v>44902</v>
      </c>
      <c r="K578" s="5" t="str">
        <f>IFERROR(__xludf.DUMMYFUNCTION("""COMPUTED_VALUE"""),"lower-middle income")</f>
        <v>lower-middle income</v>
      </c>
      <c r="L578" s="5" t="str">
        <f>IFERROR(__xludf.DUMMYFUNCTION("""COMPUTED_VALUE"""),"St. Vincent and the Grenadines")</f>
        <v>St. Vincent and the Grenadines</v>
      </c>
      <c r="M578" s="5" t="str">
        <f>IFERROR(__xludf.DUMMYFUNCTION("""COMPUTED_VALUE"""),"Middle East &amp; North Africa")</f>
        <v>Middle East &amp; North Africa</v>
      </c>
      <c r="N578" s="5" t="str">
        <f>IFERROR(__xludf.DUMMYFUNCTION("""COMPUTED_VALUE"""),"Africa")</f>
        <v>Africa</v>
      </c>
      <c r="O578" s="5" t="str">
        <f>IFERROR(__xludf.DUMMYFUNCTION("""COMPUTED_VALUE"""),"developing")</f>
        <v>developing</v>
      </c>
      <c r="P578" s="5"/>
      <c r="Q578" s="5"/>
    </row>
    <row r="579">
      <c r="A579" s="5" t="str">
        <f>IFERROR(__xludf.DUMMYFUNCTION("""COMPUTED_VALUE"""),"Outbound")</f>
        <v>Outbound</v>
      </c>
      <c r="B579" s="5">
        <f>IFERROR(__xludf.DUMMYFUNCTION("""COMPUTED_VALUE"""),507.0)</f>
        <v>507</v>
      </c>
      <c r="C579" s="5" t="str">
        <f>IFERROR(__xludf.DUMMYFUNCTION("""COMPUTED_VALUE"""),"AL SAAD")</f>
        <v>AL SAAD</v>
      </c>
      <c r="D579" s="5">
        <f>IFERROR(__xludf.DUMMYFUNCTION("""COMPUTED_VALUE"""),9436111.0)</f>
        <v>9436111</v>
      </c>
      <c r="E579" s="5" t="str">
        <f>IFERROR(__xludf.DUMMYFUNCTION("""COMPUTED_VALUE"""),"Odesa")</f>
        <v>Odesa</v>
      </c>
      <c r="F579" s="5" t="str">
        <f>IFERROR(__xludf.DUMMYFUNCTION("""COMPUTED_VALUE"""),"Indonesia")</f>
        <v>Indonesia</v>
      </c>
      <c r="G579" s="5" t="str">
        <f>IFERROR(__xludf.DUMMYFUNCTION("""COMPUTED_VALUE"""),"Wheat")</f>
        <v>Wheat</v>
      </c>
      <c r="H579" s="6">
        <f>IFERROR(__xludf.DUMMYFUNCTION("""COMPUTED_VALUE"""),55000.0)</f>
        <v>55000</v>
      </c>
      <c r="I579" s="7">
        <f>IFERROR(__xludf.DUMMYFUNCTION("""COMPUTED_VALUE"""),44896.0)</f>
        <v>44896</v>
      </c>
      <c r="J579" s="7">
        <f>IFERROR(__xludf.DUMMYFUNCTION("""COMPUTED_VALUE"""),44902.0)</f>
        <v>44902</v>
      </c>
      <c r="K579" s="5" t="str">
        <f>IFERROR(__xludf.DUMMYFUNCTION("""COMPUTED_VALUE"""),"lower-middle income")</f>
        <v>lower-middle income</v>
      </c>
      <c r="L579" s="5" t="str">
        <f>IFERROR(__xludf.DUMMYFUNCTION("""COMPUTED_VALUE"""),"Marshall Islands")</f>
        <v>Marshall Islands</v>
      </c>
      <c r="M579" s="5" t="str">
        <f>IFERROR(__xludf.DUMMYFUNCTION("""COMPUTED_VALUE"""),"East Asia &amp; Pacific")</f>
        <v>East Asia &amp; Pacific</v>
      </c>
      <c r="N579" s="5" t="str">
        <f>IFERROR(__xludf.DUMMYFUNCTION("""COMPUTED_VALUE"""),"Asia-Pacific")</f>
        <v>Asia-Pacific</v>
      </c>
      <c r="O579" s="5" t="str">
        <f>IFERROR(__xludf.DUMMYFUNCTION("""COMPUTED_VALUE"""),"developing")</f>
        <v>developing</v>
      </c>
      <c r="P579" s="5"/>
      <c r="Q579" s="5"/>
    </row>
    <row r="580">
      <c r="A580" s="5" t="str">
        <f>IFERROR(__xludf.DUMMYFUNCTION("""COMPUTED_VALUE"""),"Outbound")</f>
        <v>Outbound</v>
      </c>
      <c r="B580" s="5">
        <f>IFERROR(__xludf.DUMMYFUNCTION("""COMPUTED_VALUE"""),506.0)</f>
        <v>506</v>
      </c>
      <c r="C580" s="5" t="str">
        <f>IFERROR(__xludf.DUMMYFUNCTION("""COMPUTED_VALUE"""),"OMICRON SKY")</f>
        <v>OMICRON SKY</v>
      </c>
      <c r="D580" s="5">
        <f>IFERROR(__xludf.DUMMYFUNCTION("""COMPUTED_VALUE"""),9330329.0)</f>
        <v>9330329</v>
      </c>
      <c r="E580" s="5" t="str">
        <f>IFERROR(__xludf.DUMMYFUNCTION("""COMPUTED_VALUE"""),"Chornomorsk")</f>
        <v>Chornomorsk</v>
      </c>
      <c r="F580" s="5" t="str">
        <f>IFERROR(__xludf.DUMMYFUNCTION("""COMPUTED_VALUE"""),"Türkiye")</f>
        <v>Türkiye</v>
      </c>
      <c r="G580" s="5" t="str">
        <f>IFERROR(__xludf.DUMMYFUNCTION("""COMPUTED_VALUE"""),"Corn")</f>
        <v>Corn</v>
      </c>
      <c r="H580" s="6">
        <f>IFERROR(__xludf.DUMMYFUNCTION("""COMPUTED_VALUE"""),66645.0)</f>
        <v>66645</v>
      </c>
      <c r="I580" s="7">
        <f>IFERROR(__xludf.DUMMYFUNCTION("""COMPUTED_VALUE"""),44895.0)</f>
        <v>44895</v>
      </c>
      <c r="J580" s="7">
        <f>IFERROR(__xludf.DUMMYFUNCTION("""COMPUTED_VALUE"""),44902.0)</f>
        <v>44902</v>
      </c>
      <c r="K580" s="5" t="str">
        <f>IFERROR(__xludf.DUMMYFUNCTION("""COMPUTED_VALUE"""),"upper-middle-income")</f>
        <v>upper-middle-income</v>
      </c>
      <c r="L580" s="5" t="str">
        <f>IFERROR(__xludf.DUMMYFUNCTION("""COMPUTED_VALUE"""),"Liberia")</f>
        <v>Liberia</v>
      </c>
      <c r="M580" s="5" t="str">
        <f>IFERROR(__xludf.DUMMYFUNCTION("""COMPUTED_VALUE"""),"Europe &amp; Central Asia")</f>
        <v>Europe &amp; Central Asia</v>
      </c>
      <c r="N580" s="5" t="str">
        <f>IFERROR(__xludf.DUMMYFUNCTION("""COMPUTED_VALUE"""),"Asia-Pacific")</f>
        <v>Asia-Pacific</v>
      </c>
      <c r="O580" s="5" t="str">
        <f>IFERROR(__xludf.DUMMYFUNCTION("""COMPUTED_VALUE"""),"developing")</f>
        <v>developing</v>
      </c>
      <c r="P580" s="5"/>
      <c r="Q580" s="5"/>
    </row>
    <row r="581">
      <c r="A581" s="5" t="str">
        <f>IFERROR(__xludf.DUMMYFUNCTION("""COMPUTED_VALUE"""),"Outbound")</f>
        <v>Outbound</v>
      </c>
      <c r="B581" s="5">
        <f>IFERROR(__xludf.DUMMYFUNCTION("""COMPUTED_VALUE"""),505.0)</f>
        <v>505</v>
      </c>
      <c r="C581" s="5" t="str">
        <f>IFERROR(__xludf.DUMMYFUNCTION("""COMPUTED_VALUE"""),"BARONESS")</f>
        <v>BARONESS</v>
      </c>
      <c r="D581" s="5">
        <f>IFERROR(__xludf.DUMMYFUNCTION("""COMPUTED_VALUE"""),9588407.0)</f>
        <v>9588407</v>
      </c>
      <c r="E581" s="5" t="str">
        <f>IFERROR(__xludf.DUMMYFUNCTION("""COMPUTED_VALUE"""),"Chornomorsk")</f>
        <v>Chornomorsk</v>
      </c>
      <c r="F581" s="5" t="str">
        <f>IFERROR(__xludf.DUMMYFUNCTION("""COMPUTED_VALUE"""),"Spain")</f>
        <v>Spain</v>
      </c>
      <c r="G581" s="5" t="str">
        <f>IFERROR(__xludf.DUMMYFUNCTION("""COMPUTED_VALUE"""),"Corn")</f>
        <v>Corn</v>
      </c>
      <c r="H581" s="6">
        <f>IFERROR(__xludf.DUMMYFUNCTION("""COMPUTED_VALUE"""),27500.0)</f>
        <v>27500</v>
      </c>
      <c r="I581" s="7">
        <f>IFERROR(__xludf.DUMMYFUNCTION("""COMPUTED_VALUE"""),44895.0)</f>
        <v>44895</v>
      </c>
      <c r="J581" s="7">
        <f>IFERROR(__xludf.DUMMYFUNCTION("""COMPUTED_VALUE"""),44901.0)</f>
        <v>44901</v>
      </c>
      <c r="K581" s="5" t="str">
        <f>IFERROR(__xludf.DUMMYFUNCTION("""COMPUTED_VALUE"""),"high-income")</f>
        <v>high-income</v>
      </c>
      <c r="L581" s="5" t="str">
        <f>IFERROR(__xludf.DUMMYFUNCTION("""COMPUTED_VALUE"""),"Panama")</f>
        <v>Panama</v>
      </c>
      <c r="M581" s="5" t="str">
        <f>IFERROR(__xludf.DUMMYFUNCTION("""COMPUTED_VALUE"""),"Europe &amp; Central Asia")</f>
        <v>Europe &amp; Central Asia</v>
      </c>
      <c r="N581" s="5" t="str">
        <f>IFERROR(__xludf.DUMMYFUNCTION("""COMPUTED_VALUE"""),"Western Europe and Others")</f>
        <v>Western Europe and Others</v>
      </c>
      <c r="O581" s="5" t="str">
        <f>IFERROR(__xludf.DUMMYFUNCTION("""COMPUTED_VALUE"""),"developed")</f>
        <v>developed</v>
      </c>
      <c r="P581" s="5"/>
      <c r="Q581" s="5"/>
    </row>
    <row r="582">
      <c r="A582" s="5" t="str">
        <f>IFERROR(__xludf.DUMMYFUNCTION("""COMPUTED_VALUE"""),"Outbound")</f>
        <v>Outbound</v>
      </c>
      <c r="B582" s="5">
        <f>IFERROR(__xludf.DUMMYFUNCTION("""COMPUTED_VALUE"""),504.0)</f>
        <v>504</v>
      </c>
      <c r="C582" s="5" t="str">
        <f>IFERROR(__xludf.DUMMYFUNCTION("""COMPUTED_VALUE"""),"TORC")</f>
        <v>TORC</v>
      </c>
      <c r="D582" s="5">
        <f>IFERROR(__xludf.DUMMYFUNCTION("""COMPUTED_VALUE"""),9544683.0)</f>
        <v>9544683</v>
      </c>
      <c r="E582" s="5" t="str">
        <f>IFERROR(__xludf.DUMMYFUNCTION("""COMPUTED_VALUE"""),"Odesa")</f>
        <v>Odesa</v>
      </c>
      <c r="F582" s="5" t="str">
        <f>IFERROR(__xludf.DUMMYFUNCTION("""COMPUTED_VALUE"""),"Italy")</f>
        <v>Italy</v>
      </c>
      <c r="G582" s="5" t="str">
        <f>IFERROR(__xludf.DUMMYFUNCTION("""COMPUTED_VALUE"""),"Sunflower oil")</f>
        <v>Sunflower oil</v>
      </c>
      <c r="H582" s="6">
        <f>IFERROR(__xludf.DUMMYFUNCTION("""COMPUTED_VALUE"""),8400.0)</f>
        <v>8400</v>
      </c>
      <c r="I582" s="7">
        <f>IFERROR(__xludf.DUMMYFUNCTION("""COMPUTED_VALUE"""),44894.0)</f>
        <v>44894</v>
      </c>
      <c r="J582" s="7">
        <f>IFERROR(__xludf.DUMMYFUNCTION("""COMPUTED_VALUE"""),44900.0)</f>
        <v>44900</v>
      </c>
      <c r="K582" s="5" t="str">
        <f>IFERROR(__xludf.DUMMYFUNCTION("""COMPUTED_VALUE"""),"high-income")</f>
        <v>high-income</v>
      </c>
      <c r="L582" s="5" t="str">
        <f>IFERROR(__xludf.DUMMYFUNCTION("""COMPUTED_VALUE"""),"Malta")</f>
        <v>Malta</v>
      </c>
      <c r="M582" s="5" t="str">
        <f>IFERROR(__xludf.DUMMYFUNCTION("""COMPUTED_VALUE"""),"Europe &amp; Central Asia")</f>
        <v>Europe &amp; Central Asia</v>
      </c>
      <c r="N582" s="5" t="str">
        <f>IFERROR(__xludf.DUMMYFUNCTION("""COMPUTED_VALUE"""),"Western Europe and Others")</f>
        <v>Western Europe and Others</v>
      </c>
      <c r="O582" s="5" t="str">
        <f>IFERROR(__xludf.DUMMYFUNCTION("""COMPUTED_VALUE"""),"developed")</f>
        <v>developed</v>
      </c>
      <c r="P582" s="5"/>
      <c r="Q582" s="5"/>
    </row>
    <row r="583">
      <c r="A583" s="5" t="str">
        <f>IFERROR(__xludf.DUMMYFUNCTION("""COMPUTED_VALUE"""),"Outbound")</f>
        <v>Outbound</v>
      </c>
      <c r="B583" s="5">
        <f>IFERROR(__xludf.DUMMYFUNCTION("""COMPUTED_VALUE"""),503.0)</f>
        <v>503</v>
      </c>
      <c r="C583" s="5" t="str">
        <f>IFERROR(__xludf.DUMMYFUNCTION("""COMPUTED_VALUE"""),"MARIA GS")</f>
        <v>MARIA GS</v>
      </c>
      <c r="D583" s="5">
        <f>IFERROR(__xludf.DUMMYFUNCTION("""COMPUTED_VALUE"""),9574195.0)</f>
        <v>9574195</v>
      </c>
      <c r="E583" s="5" t="str">
        <f>IFERROR(__xludf.DUMMYFUNCTION("""COMPUTED_VALUE"""),"Chornomorsk")</f>
        <v>Chornomorsk</v>
      </c>
      <c r="F583" s="5" t="str">
        <f>IFERROR(__xludf.DUMMYFUNCTION("""COMPUTED_VALUE"""),"Italy")</f>
        <v>Italy</v>
      </c>
      <c r="G583" s="5" t="str">
        <f>IFERROR(__xludf.DUMMYFUNCTION("""COMPUTED_VALUE"""),"Corn")</f>
        <v>Corn</v>
      </c>
      <c r="H583" s="6">
        <f>IFERROR(__xludf.DUMMYFUNCTION("""COMPUTED_VALUE"""),26350.0)</f>
        <v>26350</v>
      </c>
      <c r="I583" s="7">
        <f>IFERROR(__xludf.DUMMYFUNCTION("""COMPUTED_VALUE"""),44894.0)</f>
        <v>44894</v>
      </c>
      <c r="J583" s="7">
        <f>IFERROR(__xludf.DUMMYFUNCTION("""COMPUTED_VALUE"""),44909.0)</f>
        <v>44909</v>
      </c>
      <c r="K583" s="5" t="str">
        <f>IFERROR(__xludf.DUMMYFUNCTION("""COMPUTED_VALUE"""),"high-income")</f>
        <v>high-income</v>
      </c>
      <c r="L583" s="5" t="str">
        <f>IFERROR(__xludf.DUMMYFUNCTION("""COMPUTED_VALUE"""),"Liberia")</f>
        <v>Liberia</v>
      </c>
      <c r="M583" s="5" t="str">
        <f>IFERROR(__xludf.DUMMYFUNCTION("""COMPUTED_VALUE"""),"Europe &amp; Central Asia")</f>
        <v>Europe &amp; Central Asia</v>
      </c>
      <c r="N583" s="5" t="str">
        <f>IFERROR(__xludf.DUMMYFUNCTION("""COMPUTED_VALUE"""),"Western Europe and Others")</f>
        <v>Western Europe and Others</v>
      </c>
      <c r="O583" s="5" t="str">
        <f>IFERROR(__xludf.DUMMYFUNCTION("""COMPUTED_VALUE"""),"developed")</f>
        <v>developed</v>
      </c>
      <c r="P583" s="5"/>
      <c r="Q583" s="5"/>
    </row>
    <row r="584">
      <c r="A584" s="5" t="str">
        <f>IFERROR(__xludf.DUMMYFUNCTION("""COMPUTED_VALUE"""),"Outbound")</f>
        <v>Outbound</v>
      </c>
      <c r="B584" s="5">
        <f>IFERROR(__xludf.DUMMYFUNCTION("""COMPUTED_VALUE"""),502.0)</f>
        <v>502</v>
      </c>
      <c r="C584" s="5" t="str">
        <f>IFERROR(__xludf.DUMMYFUNCTION("""COMPUTED_VALUE"""),"DAYTONA DYNAMIC")</f>
        <v>DAYTONA DYNAMIC</v>
      </c>
      <c r="D584" s="5">
        <f>IFERROR(__xludf.DUMMYFUNCTION("""COMPUTED_VALUE"""),8914726.0)</f>
        <v>8914726</v>
      </c>
      <c r="E584" s="5" t="str">
        <f>IFERROR(__xludf.DUMMYFUNCTION("""COMPUTED_VALUE"""),"Yuzhny/Pivdennyi")</f>
        <v>Yuzhny/Pivdennyi</v>
      </c>
      <c r="F584" s="5" t="str">
        <f>IFERROR(__xludf.DUMMYFUNCTION("""COMPUTED_VALUE"""),"Türkiye")</f>
        <v>Türkiye</v>
      </c>
      <c r="G584" s="5" t="str">
        <f>IFERROR(__xludf.DUMMYFUNCTION("""COMPUTED_VALUE"""),"Wheat")</f>
        <v>Wheat</v>
      </c>
      <c r="H584" s="6">
        <f>IFERROR(__xludf.DUMMYFUNCTION("""COMPUTED_VALUE"""),26300.0)</f>
        <v>26300</v>
      </c>
      <c r="I584" s="7">
        <f>IFERROR(__xludf.DUMMYFUNCTION("""COMPUTED_VALUE"""),44894.0)</f>
        <v>44894</v>
      </c>
      <c r="J584" s="7">
        <f>IFERROR(__xludf.DUMMYFUNCTION("""COMPUTED_VALUE"""),44901.0)</f>
        <v>44901</v>
      </c>
      <c r="K584" s="5" t="str">
        <f>IFERROR(__xludf.DUMMYFUNCTION("""COMPUTED_VALUE"""),"upper-middle-income")</f>
        <v>upper-middle-income</v>
      </c>
      <c r="L584" s="5" t="str">
        <f>IFERROR(__xludf.DUMMYFUNCTION("""COMPUTED_VALUE"""),"Comoros")</f>
        <v>Comoros</v>
      </c>
      <c r="M584" s="5" t="str">
        <f>IFERROR(__xludf.DUMMYFUNCTION("""COMPUTED_VALUE"""),"Europe &amp; Central Asia")</f>
        <v>Europe &amp; Central Asia</v>
      </c>
      <c r="N584" s="5" t="str">
        <f>IFERROR(__xludf.DUMMYFUNCTION("""COMPUTED_VALUE"""),"Asia-Pacific")</f>
        <v>Asia-Pacific</v>
      </c>
      <c r="O584" s="5" t="str">
        <f>IFERROR(__xludf.DUMMYFUNCTION("""COMPUTED_VALUE"""),"developing")</f>
        <v>developing</v>
      </c>
      <c r="P584" s="5"/>
      <c r="Q584" s="5"/>
    </row>
    <row r="585">
      <c r="A585" s="5" t="str">
        <f>IFERROR(__xludf.DUMMYFUNCTION("""COMPUTED_VALUE"""),"Outbound")</f>
        <v>Outbound</v>
      </c>
      <c r="B585" s="5">
        <f>IFERROR(__xludf.DUMMYFUNCTION("""COMPUTED_VALUE"""),501.0)</f>
        <v>501</v>
      </c>
      <c r="C585" s="5" t="str">
        <f>IFERROR(__xludf.DUMMYFUNCTION("""COMPUTED_VALUE"""),"NEW FAITH")</f>
        <v>NEW FAITH</v>
      </c>
      <c r="D585" s="5">
        <f>IFERROR(__xludf.DUMMYFUNCTION("""COMPUTED_VALUE"""),9191034.0)</f>
        <v>9191034</v>
      </c>
      <c r="E585" s="5" t="str">
        <f>IFERROR(__xludf.DUMMYFUNCTION("""COMPUTED_VALUE"""),"Odesa")</f>
        <v>Odesa</v>
      </c>
      <c r="F585" s="5" t="str">
        <f>IFERROR(__xludf.DUMMYFUNCTION("""COMPUTED_VALUE"""),"Türkiye")</f>
        <v>Türkiye</v>
      </c>
      <c r="G585" s="5" t="str">
        <f>IFERROR(__xludf.DUMMYFUNCTION("""COMPUTED_VALUE"""),"Corn")</f>
        <v>Corn</v>
      </c>
      <c r="H585" s="6">
        <f>IFERROR(__xludf.DUMMYFUNCTION("""COMPUTED_VALUE"""),27500.0)</f>
        <v>27500</v>
      </c>
      <c r="I585" s="7">
        <f>IFERROR(__xludf.DUMMYFUNCTION("""COMPUTED_VALUE"""),44892.0)</f>
        <v>44892</v>
      </c>
      <c r="J585" s="7">
        <f>IFERROR(__xludf.DUMMYFUNCTION("""COMPUTED_VALUE"""),44900.0)</f>
        <v>44900</v>
      </c>
      <c r="K585" s="5" t="str">
        <f>IFERROR(__xludf.DUMMYFUNCTION("""COMPUTED_VALUE"""),"upper-middle-income")</f>
        <v>upper-middle-income</v>
      </c>
      <c r="L585" s="5" t="str">
        <f>IFERROR(__xludf.DUMMYFUNCTION("""COMPUTED_VALUE"""),"Belize")</f>
        <v>Belize</v>
      </c>
      <c r="M585" s="5" t="str">
        <f>IFERROR(__xludf.DUMMYFUNCTION("""COMPUTED_VALUE"""),"Europe &amp; Central Asia")</f>
        <v>Europe &amp; Central Asia</v>
      </c>
      <c r="N585" s="5" t="str">
        <f>IFERROR(__xludf.DUMMYFUNCTION("""COMPUTED_VALUE"""),"Asia-Pacific")</f>
        <v>Asia-Pacific</v>
      </c>
      <c r="O585" s="5" t="str">
        <f>IFERROR(__xludf.DUMMYFUNCTION("""COMPUTED_VALUE"""),"developing")</f>
        <v>developing</v>
      </c>
      <c r="P585" s="5"/>
      <c r="Q585" s="5"/>
    </row>
    <row r="586">
      <c r="A586" s="5" t="str">
        <f>IFERROR(__xludf.DUMMYFUNCTION("""COMPUTED_VALUE"""),"Outbound")</f>
        <v>Outbound</v>
      </c>
      <c r="B586" s="5">
        <f>IFERROR(__xludf.DUMMYFUNCTION("""COMPUTED_VALUE"""),500.0)</f>
        <v>500</v>
      </c>
      <c r="C586" s="5" t="str">
        <f>IFERROR(__xludf.DUMMYFUNCTION("""COMPUTED_VALUE"""),"LADY ZEHMA")</f>
        <v>LADY ZEHMA</v>
      </c>
      <c r="D586" s="5">
        <f>IFERROR(__xludf.DUMMYFUNCTION("""COMPUTED_VALUE"""),9303431.0)</f>
        <v>9303431</v>
      </c>
      <c r="E586" s="5" t="str">
        <f>IFERROR(__xludf.DUMMYFUNCTION("""COMPUTED_VALUE"""),"Chornomorsk")</f>
        <v>Chornomorsk</v>
      </c>
      <c r="F586" s="5" t="str">
        <f>IFERROR(__xludf.DUMMYFUNCTION("""COMPUTED_VALUE"""),"Italy")</f>
        <v>Italy</v>
      </c>
      <c r="G586" s="5" t="str">
        <f>IFERROR(__xludf.DUMMYFUNCTION("""COMPUTED_VALUE"""),"Corn")</f>
        <v>Corn</v>
      </c>
      <c r="H586" s="6">
        <f>IFERROR(__xludf.DUMMYFUNCTION("""COMPUTED_VALUE"""),30389.0)</f>
        <v>30389</v>
      </c>
      <c r="I586" s="7">
        <f>IFERROR(__xludf.DUMMYFUNCTION("""COMPUTED_VALUE"""),44892.0)</f>
        <v>44892</v>
      </c>
      <c r="J586" s="7">
        <f>IFERROR(__xludf.DUMMYFUNCTION("""COMPUTED_VALUE"""),44909.0)</f>
        <v>44909</v>
      </c>
      <c r="K586" s="5" t="str">
        <f>IFERROR(__xludf.DUMMYFUNCTION("""COMPUTED_VALUE"""),"high-income")</f>
        <v>high-income</v>
      </c>
      <c r="L586" s="5" t="str">
        <f>IFERROR(__xludf.DUMMYFUNCTION("""COMPUTED_VALUE"""),"Panama")</f>
        <v>Panama</v>
      </c>
      <c r="M586" s="5" t="str">
        <f>IFERROR(__xludf.DUMMYFUNCTION("""COMPUTED_VALUE"""),"Europe &amp; Central Asia")</f>
        <v>Europe &amp; Central Asia</v>
      </c>
      <c r="N586" s="5" t="str">
        <f>IFERROR(__xludf.DUMMYFUNCTION("""COMPUTED_VALUE"""),"Western Europe and Others")</f>
        <v>Western Europe and Others</v>
      </c>
      <c r="O586" s="5" t="str">
        <f>IFERROR(__xludf.DUMMYFUNCTION("""COMPUTED_VALUE"""),"developed")</f>
        <v>developed</v>
      </c>
      <c r="P586" s="5"/>
      <c r="Q586" s="5"/>
    </row>
    <row r="587">
      <c r="A587" s="5" t="str">
        <f>IFERROR(__xludf.DUMMYFUNCTION("""COMPUTED_VALUE"""),"Outbound")</f>
        <v>Outbound</v>
      </c>
      <c r="B587" s="5">
        <f>IFERROR(__xludf.DUMMYFUNCTION("""COMPUTED_VALUE"""),499.0)</f>
        <v>499</v>
      </c>
      <c r="C587" s="5" t="str">
        <f>IFERROR(__xludf.DUMMYFUNCTION("""COMPUTED_VALUE"""),"LADY SHAM")</f>
        <v>LADY SHAM</v>
      </c>
      <c r="D587" s="5">
        <f>IFERROR(__xludf.DUMMYFUNCTION("""COMPUTED_VALUE"""),9171383.0)</f>
        <v>9171383</v>
      </c>
      <c r="E587" s="5" t="str">
        <f>IFERROR(__xludf.DUMMYFUNCTION("""COMPUTED_VALUE"""),"Odesa")</f>
        <v>Odesa</v>
      </c>
      <c r="F587" s="5" t="str">
        <f>IFERROR(__xludf.DUMMYFUNCTION("""COMPUTED_VALUE"""),"Italy")</f>
        <v>Italy</v>
      </c>
      <c r="G587" s="5" t="str">
        <f>IFERROR(__xludf.DUMMYFUNCTION("""COMPUTED_VALUE"""),"Wheat")</f>
        <v>Wheat</v>
      </c>
      <c r="H587" s="6">
        <f>IFERROR(__xludf.DUMMYFUNCTION("""COMPUTED_VALUE"""),8383.0)</f>
        <v>8383</v>
      </c>
      <c r="I587" s="7">
        <f>IFERROR(__xludf.DUMMYFUNCTION("""COMPUTED_VALUE"""),44892.0)</f>
        <v>44892</v>
      </c>
      <c r="J587" s="7">
        <f>IFERROR(__xludf.DUMMYFUNCTION("""COMPUTED_VALUE"""),44900.0)</f>
        <v>44900</v>
      </c>
      <c r="K587" s="5" t="str">
        <f>IFERROR(__xludf.DUMMYFUNCTION("""COMPUTED_VALUE"""),"high-income")</f>
        <v>high-income</v>
      </c>
      <c r="L587" s="5" t="str">
        <f>IFERROR(__xludf.DUMMYFUNCTION("""COMPUTED_VALUE"""),"Sierra Leone")</f>
        <v>Sierra Leone</v>
      </c>
      <c r="M587" s="5" t="str">
        <f>IFERROR(__xludf.DUMMYFUNCTION("""COMPUTED_VALUE"""),"Europe &amp; Central Asia")</f>
        <v>Europe &amp; Central Asia</v>
      </c>
      <c r="N587" s="5" t="str">
        <f>IFERROR(__xludf.DUMMYFUNCTION("""COMPUTED_VALUE"""),"Western Europe and Others")</f>
        <v>Western Europe and Others</v>
      </c>
      <c r="O587" s="5" t="str">
        <f>IFERROR(__xludf.DUMMYFUNCTION("""COMPUTED_VALUE"""),"developed")</f>
        <v>developed</v>
      </c>
      <c r="P587" s="5"/>
      <c r="Q587" s="5"/>
    </row>
    <row r="588">
      <c r="A588" s="5" t="str">
        <f>IFERROR(__xludf.DUMMYFUNCTION("""COMPUTED_VALUE"""),"Outbound")</f>
        <v>Outbound</v>
      </c>
      <c r="B588" s="5">
        <f>IFERROR(__xludf.DUMMYFUNCTION("""COMPUTED_VALUE"""),498.0)</f>
        <v>498</v>
      </c>
      <c r="C588" s="5" t="str">
        <f>IFERROR(__xludf.DUMMYFUNCTION("""COMPUTED_VALUE"""),"KINGFISHER D")</f>
        <v>KINGFISHER D</v>
      </c>
      <c r="D588" s="5">
        <f>IFERROR(__xludf.DUMMYFUNCTION("""COMPUTED_VALUE"""),9238117.0)</f>
        <v>9238117</v>
      </c>
      <c r="E588" s="5" t="str">
        <f>IFERROR(__xludf.DUMMYFUNCTION("""COMPUTED_VALUE"""),"Chornomorsk")</f>
        <v>Chornomorsk</v>
      </c>
      <c r="F588" s="5" t="str">
        <f>IFERROR(__xludf.DUMMYFUNCTION("""COMPUTED_VALUE"""),"Italy")</f>
        <v>Italy</v>
      </c>
      <c r="G588" s="5" t="str">
        <f>IFERROR(__xludf.DUMMYFUNCTION("""COMPUTED_VALUE"""),"Corn")</f>
        <v>Corn</v>
      </c>
      <c r="H588" s="6">
        <f>IFERROR(__xludf.DUMMYFUNCTION("""COMPUTED_VALUE"""),26900.0)</f>
        <v>26900</v>
      </c>
      <c r="I588" s="7">
        <f>IFERROR(__xludf.DUMMYFUNCTION("""COMPUTED_VALUE"""),44892.0)</f>
        <v>44892</v>
      </c>
      <c r="J588" s="7">
        <f>IFERROR(__xludf.DUMMYFUNCTION("""COMPUTED_VALUE"""),44905.0)</f>
        <v>44905</v>
      </c>
      <c r="K588" s="5" t="str">
        <f>IFERROR(__xludf.DUMMYFUNCTION("""COMPUTED_VALUE"""),"high-income")</f>
        <v>high-income</v>
      </c>
      <c r="L588" s="5" t="str">
        <f>IFERROR(__xludf.DUMMYFUNCTION("""COMPUTED_VALUE"""),"Marshall Islands")</f>
        <v>Marshall Islands</v>
      </c>
      <c r="M588" s="5" t="str">
        <f>IFERROR(__xludf.DUMMYFUNCTION("""COMPUTED_VALUE"""),"Europe &amp; Central Asia")</f>
        <v>Europe &amp; Central Asia</v>
      </c>
      <c r="N588" s="5" t="str">
        <f>IFERROR(__xludf.DUMMYFUNCTION("""COMPUTED_VALUE"""),"Western Europe and Others")</f>
        <v>Western Europe and Others</v>
      </c>
      <c r="O588" s="5" t="str">
        <f>IFERROR(__xludf.DUMMYFUNCTION("""COMPUTED_VALUE"""),"developed")</f>
        <v>developed</v>
      </c>
      <c r="P588" s="5"/>
      <c r="Q588" s="5"/>
    </row>
    <row r="589">
      <c r="A589" s="5" t="str">
        <f>IFERROR(__xludf.DUMMYFUNCTION("""COMPUTED_VALUE"""),"Outbound")</f>
        <v>Outbound</v>
      </c>
      <c r="B589" s="5">
        <f>IFERROR(__xludf.DUMMYFUNCTION("""COMPUTED_VALUE"""),497.0)</f>
        <v>497</v>
      </c>
      <c r="C589" s="5" t="str">
        <f>IFERROR(__xludf.DUMMYFUNCTION("""COMPUTED_VALUE"""),"INCEPTION")</f>
        <v>INCEPTION</v>
      </c>
      <c r="D589" s="5">
        <f>IFERROR(__xludf.DUMMYFUNCTION("""COMPUTED_VALUE"""),9540481.0)</f>
        <v>9540481</v>
      </c>
      <c r="E589" s="5" t="str">
        <f>IFERROR(__xludf.DUMMYFUNCTION("""COMPUTED_VALUE"""),"Chornomorsk")</f>
        <v>Chornomorsk</v>
      </c>
      <c r="F589" s="5" t="str">
        <f>IFERROR(__xludf.DUMMYFUNCTION("""COMPUTED_VALUE"""),"The Netherlands")</f>
        <v>The Netherlands</v>
      </c>
      <c r="G589" s="5" t="str">
        <f>IFERROR(__xludf.DUMMYFUNCTION("""COMPUTED_VALUE"""),"Corn")</f>
        <v>Corn</v>
      </c>
      <c r="H589" s="6">
        <f>IFERROR(__xludf.DUMMYFUNCTION("""COMPUTED_VALUE"""),67000.0)</f>
        <v>67000</v>
      </c>
      <c r="I589" s="7">
        <f>IFERROR(__xludf.DUMMYFUNCTION("""COMPUTED_VALUE"""),44892.0)</f>
        <v>44892</v>
      </c>
      <c r="J589" s="7">
        <f>IFERROR(__xludf.DUMMYFUNCTION("""COMPUTED_VALUE"""),44901.0)</f>
        <v>44901</v>
      </c>
      <c r="K589" s="5" t="str">
        <f>IFERROR(__xludf.DUMMYFUNCTION("""COMPUTED_VALUE"""),"high-income")</f>
        <v>high-income</v>
      </c>
      <c r="L589" s="5" t="str">
        <f>IFERROR(__xludf.DUMMYFUNCTION("""COMPUTED_VALUE"""),"Liberia")</f>
        <v>Liberia</v>
      </c>
      <c r="M589" s="5" t="str">
        <f>IFERROR(__xludf.DUMMYFUNCTION("""COMPUTED_VALUE"""),"Europe &amp; Central Asia")</f>
        <v>Europe &amp; Central Asia</v>
      </c>
      <c r="N589" s="5" t="str">
        <f>IFERROR(__xludf.DUMMYFUNCTION("""COMPUTED_VALUE"""),"Western Europe and Others")</f>
        <v>Western Europe and Others</v>
      </c>
      <c r="O589" s="5" t="str">
        <f>IFERROR(__xludf.DUMMYFUNCTION("""COMPUTED_VALUE"""),"developed")</f>
        <v>developed</v>
      </c>
      <c r="P589" s="5"/>
      <c r="Q589" s="5"/>
    </row>
    <row r="590">
      <c r="A590" s="5" t="str">
        <f>IFERROR(__xludf.DUMMYFUNCTION("""COMPUTED_VALUE"""),"Outbound")</f>
        <v>Outbound</v>
      </c>
      <c r="B590" s="5">
        <f>IFERROR(__xludf.DUMMYFUNCTION("""COMPUTED_VALUE"""),496.0)</f>
        <v>496</v>
      </c>
      <c r="C590" s="5" t="str">
        <f>IFERROR(__xludf.DUMMYFUNCTION("""COMPUTED_VALUE"""),"FANARIA")</f>
        <v>FANARIA</v>
      </c>
      <c r="D590" s="5">
        <f>IFERROR(__xludf.DUMMYFUNCTION("""COMPUTED_VALUE"""),9228241.0)</f>
        <v>9228241</v>
      </c>
      <c r="E590" s="5" t="str">
        <f>IFERROR(__xludf.DUMMYFUNCTION("""COMPUTED_VALUE"""),"Chornomorsk")</f>
        <v>Chornomorsk</v>
      </c>
      <c r="F590" s="5" t="str">
        <f>IFERROR(__xludf.DUMMYFUNCTION("""COMPUTED_VALUE"""),"Greece")</f>
        <v>Greece</v>
      </c>
      <c r="G590" s="5" t="str">
        <f>IFERROR(__xludf.DUMMYFUNCTION("""COMPUTED_VALUE"""),"Barley")</f>
        <v>Barley</v>
      </c>
      <c r="H590" s="6">
        <f>IFERROR(__xludf.DUMMYFUNCTION("""COMPUTED_VALUE"""),11650.0)</f>
        <v>11650</v>
      </c>
      <c r="I590" s="7">
        <f>IFERROR(__xludf.DUMMYFUNCTION("""COMPUTED_VALUE"""),44892.0)</f>
        <v>44892</v>
      </c>
      <c r="J590" s="7">
        <f>IFERROR(__xludf.DUMMYFUNCTION("""COMPUTED_VALUE"""),44904.0)</f>
        <v>44904</v>
      </c>
      <c r="K590" s="5" t="str">
        <f>IFERROR(__xludf.DUMMYFUNCTION("""COMPUTED_VALUE"""),"high-income")</f>
        <v>high-income</v>
      </c>
      <c r="L590" s="5" t="str">
        <f>IFERROR(__xludf.DUMMYFUNCTION("""COMPUTED_VALUE"""),"Panama")</f>
        <v>Panama</v>
      </c>
      <c r="M590" s="5" t="str">
        <f>IFERROR(__xludf.DUMMYFUNCTION("""COMPUTED_VALUE"""),"Europe &amp; Central Asia")</f>
        <v>Europe &amp; Central Asia</v>
      </c>
      <c r="N590" s="5" t="str">
        <f>IFERROR(__xludf.DUMMYFUNCTION("""COMPUTED_VALUE"""),"Western Europe and Others")</f>
        <v>Western Europe and Others</v>
      </c>
      <c r="O590" s="5" t="str">
        <f>IFERROR(__xludf.DUMMYFUNCTION("""COMPUTED_VALUE"""),"developed")</f>
        <v>developed</v>
      </c>
      <c r="P590" s="5"/>
      <c r="Q590" s="5"/>
    </row>
    <row r="591">
      <c r="A591" s="5" t="str">
        <f>IFERROR(__xludf.DUMMYFUNCTION("""COMPUTED_VALUE"""),"Outbound +")</f>
        <v>Outbound +</v>
      </c>
      <c r="B591" s="5">
        <f>IFERROR(__xludf.DUMMYFUNCTION("""COMPUTED_VALUE"""),496.0)</f>
        <v>496</v>
      </c>
      <c r="C591" s="5" t="str">
        <f>IFERROR(__xludf.DUMMYFUNCTION("""COMPUTED_VALUE"""),"FANARIA")</f>
        <v>FANARIA</v>
      </c>
      <c r="D591" s="5">
        <f>IFERROR(__xludf.DUMMYFUNCTION("""COMPUTED_VALUE"""),9228241.0)</f>
        <v>9228241</v>
      </c>
      <c r="E591" s="5" t="str">
        <f>IFERROR(__xludf.DUMMYFUNCTION("""COMPUTED_VALUE"""),"Chornomorsk")</f>
        <v>Chornomorsk</v>
      </c>
      <c r="F591" s="5" t="str">
        <f>IFERROR(__xludf.DUMMYFUNCTION("""COMPUTED_VALUE"""),"Greece")</f>
        <v>Greece</v>
      </c>
      <c r="G591" s="5" t="str">
        <f>IFERROR(__xludf.DUMMYFUNCTION("""COMPUTED_VALUE"""),"Wheat")</f>
        <v>Wheat</v>
      </c>
      <c r="H591" s="6">
        <f>IFERROR(__xludf.DUMMYFUNCTION("""COMPUTED_VALUE"""),4700.0)</f>
        <v>4700</v>
      </c>
      <c r="I591" s="7">
        <f>IFERROR(__xludf.DUMMYFUNCTION("""COMPUTED_VALUE"""),44892.0)</f>
        <v>44892</v>
      </c>
      <c r="J591" s="7">
        <f>IFERROR(__xludf.DUMMYFUNCTION("""COMPUTED_VALUE"""),44904.0)</f>
        <v>44904</v>
      </c>
      <c r="K591" s="5" t="str">
        <f>IFERROR(__xludf.DUMMYFUNCTION("""COMPUTED_VALUE"""),"high-income")</f>
        <v>high-income</v>
      </c>
      <c r="L591" s="5" t="str">
        <f>IFERROR(__xludf.DUMMYFUNCTION("""COMPUTED_VALUE"""),"Panama")</f>
        <v>Panama</v>
      </c>
      <c r="M591" s="5" t="str">
        <f>IFERROR(__xludf.DUMMYFUNCTION("""COMPUTED_VALUE"""),"Europe &amp; Central Asia")</f>
        <v>Europe &amp; Central Asia</v>
      </c>
      <c r="N591" s="5" t="str">
        <f>IFERROR(__xludf.DUMMYFUNCTION("""COMPUTED_VALUE"""),"Western Europe and Others")</f>
        <v>Western Europe and Others</v>
      </c>
      <c r="O591" s="5" t="str">
        <f>IFERROR(__xludf.DUMMYFUNCTION("""COMPUTED_VALUE"""),"developed")</f>
        <v>developed</v>
      </c>
      <c r="P591" s="5"/>
      <c r="Q591" s="5"/>
    </row>
    <row r="592">
      <c r="A592" s="5" t="str">
        <f>IFERROR(__xludf.DUMMYFUNCTION("""COMPUTED_VALUE"""),"Outbound")</f>
        <v>Outbound</v>
      </c>
      <c r="B592" s="5">
        <f>IFERROR(__xludf.DUMMYFUNCTION("""COMPUTED_VALUE"""),495.0)</f>
        <v>495</v>
      </c>
      <c r="C592" s="5" t="str">
        <f>IFERROR(__xludf.DUMMYFUNCTION("""COMPUTED_VALUE"""),"SAUVAN")</f>
        <v>SAUVAN</v>
      </c>
      <c r="D592" s="5">
        <f>IFERROR(__xludf.DUMMYFUNCTION("""COMPUTED_VALUE"""),9537628.0)</f>
        <v>9537628</v>
      </c>
      <c r="E592" s="5" t="str">
        <f>IFERROR(__xludf.DUMMYFUNCTION("""COMPUTED_VALUE"""),"Yuzhny/Pivdennyi")</f>
        <v>Yuzhny/Pivdennyi</v>
      </c>
      <c r="F592" s="5" t="str">
        <f>IFERROR(__xludf.DUMMYFUNCTION("""COMPUTED_VALUE"""),"China")</f>
        <v>China</v>
      </c>
      <c r="G592" s="5" t="str">
        <f>IFERROR(__xludf.DUMMYFUNCTION("""COMPUTED_VALUE"""),"Corn")</f>
        <v>Corn</v>
      </c>
      <c r="H592" s="6">
        <f>IFERROR(__xludf.DUMMYFUNCTION("""COMPUTED_VALUE"""),71000.0)</f>
        <v>71000</v>
      </c>
      <c r="I592" s="7">
        <f>IFERROR(__xludf.DUMMYFUNCTION("""COMPUTED_VALUE"""),44891.0)</f>
        <v>44891</v>
      </c>
      <c r="J592" s="7">
        <f>IFERROR(__xludf.DUMMYFUNCTION("""COMPUTED_VALUE"""),44901.0)</f>
        <v>44901</v>
      </c>
      <c r="K592" s="5" t="str">
        <f>IFERROR(__xludf.DUMMYFUNCTION("""COMPUTED_VALUE"""),"upper-middle-income")</f>
        <v>upper-middle-income</v>
      </c>
      <c r="L592" s="5" t="str">
        <f>IFERROR(__xludf.DUMMYFUNCTION("""COMPUTED_VALUE"""),"Liberia")</f>
        <v>Liberia</v>
      </c>
      <c r="M592" s="5" t="str">
        <f>IFERROR(__xludf.DUMMYFUNCTION("""COMPUTED_VALUE"""),"East Asia &amp; Pacific")</f>
        <v>East Asia &amp; Pacific</v>
      </c>
      <c r="N592" s="5" t="str">
        <f>IFERROR(__xludf.DUMMYFUNCTION("""COMPUTED_VALUE"""),"Asia-Pacific")</f>
        <v>Asia-Pacific</v>
      </c>
      <c r="O592" s="5" t="str">
        <f>IFERROR(__xludf.DUMMYFUNCTION("""COMPUTED_VALUE"""),"developing")</f>
        <v>developing</v>
      </c>
      <c r="P592" s="5"/>
      <c r="Q592" s="5"/>
    </row>
    <row r="593">
      <c r="A593" s="5" t="str">
        <f>IFERROR(__xludf.DUMMYFUNCTION("""COMPUTED_VALUE"""),"Outbound")</f>
        <v>Outbound</v>
      </c>
      <c r="B593" s="5">
        <f>IFERROR(__xludf.DUMMYFUNCTION("""COMPUTED_VALUE"""),494.0)</f>
        <v>494</v>
      </c>
      <c r="C593" s="5" t="str">
        <f>IFERROR(__xludf.DUMMYFUNCTION("""COMPUTED_VALUE"""),"PORT ALBERNI")</f>
        <v>PORT ALBERNI</v>
      </c>
      <c r="D593" s="5">
        <f>IFERROR(__xludf.DUMMYFUNCTION("""COMPUTED_VALUE"""),9335886.0)</f>
        <v>9335886</v>
      </c>
      <c r="E593" s="5" t="str">
        <f>IFERROR(__xludf.DUMMYFUNCTION("""COMPUTED_VALUE"""),"Odesa")</f>
        <v>Odesa</v>
      </c>
      <c r="F593" s="5" t="str">
        <f>IFERROR(__xludf.DUMMYFUNCTION("""COMPUTED_VALUE"""),"Spain")</f>
        <v>Spain</v>
      </c>
      <c r="G593" s="5" t="str">
        <f>IFERROR(__xludf.DUMMYFUNCTION("""COMPUTED_VALUE"""),"Soya beans")</f>
        <v>Soya beans</v>
      </c>
      <c r="H593" s="6">
        <f>IFERROR(__xludf.DUMMYFUNCTION("""COMPUTED_VALUE"""),26765.0)</f>
        <v>26765</v>
      </c>
      <c r="I593" s="7">
        <f>IFERROR(__xludf.DUMMYFUNCTION("""COMPUTED_VALUE"""),44890.0)</f>
        <v>44890</v>
      </c>
      <c r="J593" s="7">
        <f>IFERROR(__xludf.DUMMYFUNCTION("""COMPUTED_VALUE"""),44899.0)</f>
        <v>44899</v>
      </c>
      <c r="K593" s="5" t="str">
        <f>IFERROR(__xludf.DUMMYFUNCTION("""COMPUTED_VALUE"""),"high-income")</f>
        <v>high-income</v>
      </c>
      <c r="L593" s="5" t="str">
        <f>IFERROR(__xludf.DUMMYFUNCTION("""COMPUTED_VALUE"""),"Hong Kong")</f>
        <v>Hong Kong</v>
      </c>
      <c r="M593" s="5" t="str">
        <f>IFERROR(__xludf.DUMMYFUNCTION("""COMPUTED_VALUE"""),"Europe &amp; Central Asia")</f>
        <v>Europe &amp; Central Asia</v>
      </c>
      <c r="N593" s="5" t="str">
        <f>IFERROR(__xludf.DUMMYFUNCTION("""COMPUTED_VALUE"""),"Western Europe and Others")</f>
        <v>Western Europe and Others</v>
      </c>
      <c r="O593" s="5" t="str">
        <f>IFERROR(__xludf.DUMMYFUNCTION("""COMPUTED_VALUE"""),"developed")</f>
        <v>developed</v>
      </c>
      <c r="P593" s="5"/>
      <c r="Q593" s="5"/>
    </row>
    <row r="594">
      <c r="A594" s="5" t="str">
        <f>IFERROR(__xludf.DUMMYFUNCTION("""COMPUTED_VALUE"""),"Outbound")</f>
        <v>Outbound</v>
      </c>
      <c r="B594" s="5">
        <f>IFERROR(__xludf.DUMMYFUNCTION("""COMPUTED_VALUE"""),493.0)</f>
        <v>493</v>
      </c>
      <c r="C594" s="5" t="str">
        <f>IFERROR(__xludf.DUMMYFUNCTION("""COMPUTED_VALUE"""),"CS CIHAN")</f>
        <v>CS CIHAN</v>
      </c>
      <c r="D594" s="5">
        <f>IFERROR(__xludf.DUMMYFUNCTION("""COMPUTED_VALUE"""),9045704.0)</f>
        <v>9045704</v>
      </c>
      <c r="E594" s="5" t="str">
        <f>IFERROR(__xludf.DUMMYFUNCTION("""COMPUTED_VALUE"""),"Chornomorsk")</f>
        <v>Chornomorsk</v>
      </c>
      <c r="F594" s="5" t="str">
        <f>IFERROR(__xludf.DUMMYFUNCTION("""COMPUTED_VALUE"""),"Türkiye")</f>
        <v>Türkiye</v>
      </c>
      <c r="G594" s="5" t="str">
        <f>IFERROR(__xludf.DUMMYFUNCTION("""COMPUTED_VALUE"""),"Soya beans")</f>
        <v>Soya beans</v>
      </c>
      <c r="H594" s="6">
        <f>IFERROR(__xludf.DUMMYFUNCTION("""COMPUTED_VALUE"""),6400.0)</f>
        <v>6400</v>
      </c>
      <c r="I594" s="7">
        <f>IFERROR(__xludf.DUMMYFUNCTION("""COMPUTED_VALUE"""),44890.0)</f>
        <v>44890</v>
      </c>
      <c r="J594" s="7">
        <f>IFERROR(__xludf.DUMMYFUNCTION("""COMPUTED_VALUE"""),44899.0)</f>
        <v>44899</v>
      </c>
      <c r="K594" s="5" t="str">
        <f>IFERROR(__xludf.DUMMYFUNCTION("""COMPUTED_VALUE"""),"upper-middle-income")</f>
        <v>upper-middle-income</v>
      </c>
      <c r="L594" s="5" t="str">
        <f>IFERROR(__xludf.DUMMYFUNCTION("""COMPUTED_VALUE"""),"Liberia")</f>
        <v>Liberia</v>
      </c>
      <c r="M594" s="5" t="str">
        <f>IFERROR(__xludf.DUMMYFUNCTION("""COMPUTED_VALUE"""),"Europe &amp; Central Asia")</f>
        <v>Europe &amp; Central Asia</v>
      </c>
      <c r="N594" s="5" t="str">
        <f>IFERROR(__xludf.DUMMYFUNCTION("""COMPUTED_VALUE"""),"Asia-Pacific")</f>
        <v>Asia-Pacific</v>
      </c>
      <c r="O594" s="5" t="str">
        <f>IFERROR(__xludf.DUMMYFUNCTION("""COMPUTED_VALUE"""),"developing")</f>
        <v>developing</v>
      </c>
      <c r="P594" s="5"/>
      <c r="Q594" s="5"/>
    </row>
    <row r="595">
      <c r="A595" s="5" t="str">
        <f>IFERROR(__xludf.DUMMYFUNCTION("""COMPUTED_VALUE"""),"Outbound")</f>
        <v>Outbound</v>
      </c>
      <c r="B595" s="5">
        <f>IFERROR(__xludf.DUMMYFUNCTION("""COMPUTED_VALUE"""),492.0)</f>
        <v>492</v>
      </c>
      <c r="C595" s="5" t="str">
        <f>IFERROR(__xludf.DUMMYFUNCTION("""COMPUTED_VALUE"""),"BERDEN")</f>
        <v>BERDEN</v>
      </c>
      <c r="D595" s="5">
        <f>IFERROR(__xludf.DUMMYFUNCTION("""COMPUTED_VALUE"""),9278818.0)</f>
        <v>9278818</v>
      </c>
      <c r="E595" s="5" t="str">
        <f>IFERROR(__xludf.DUMMYFUNCTION("""COMPUTED_VALUE"""),"Odesa")</f>
        <v>Odesa</v>
      </c>
      <c r="F595" s="5" t="str">
        <f>IFERROR(__xludf.DUMMYFUNCTION("""COMPUTED_VALUE"""),"Bangladesh")</f>
        <v>Bangladesh</v>
      </c>
      <c r="G595" s="5" t="str">
        <f>IFERROR(__xludf.DUMMYFUNCTION("""COMPUTED_VALUE"""),"Wheat")</f>
        <v>Wheat</v>
      </c>
      <c r="H595" s="6">
        <f>IFERROR(__xludf.DUMMYFUNCTION("""COMPUTED_VALUE"""),54000.0)</f>
        <v>54000</v>
      </c>
      <c r="I595" s="7">
        <f>IFERROR(__xludf.DUMMYFUNCTION("""COMPUTED_VALUE"""),44889.0)</f>
        <v>44889</v>
      </c>
      <c r="J595" s="7">
        <f>IFERROR(__xludf.DUMMYFUNCTION("""COMPUTED_VALUE"""),44897.0)</f>
        <v>44897</v>
      </c>
      <c r="K595" s="5" t="str">
        <f>IFERROR(__xludf.DUMMYFUNCTION("""COMPUTED_VALUE"""),"lower-middle income")</f>
        <v>lower-middle income</v>
      </c>
      <c r="L595" s="5" t="str">
        <f>IFERROR(__xludf.DUMMYFUNCTION("""COMPUTED_VALUE"""),"Marshall Islands")</f>
        <v>Marshall Islands</v>
      </c>
      <c r="M595" s="5" t="str">
        <f>IFERROR(__xludf.DUMMYFUNCTION("""COMPUTED_VALUE"""),"South Asia")</f>
        <v>South Asia</v>
      </c>
      <c r="N595" s="5" t="str">
        <f>IFERROR(__xludf.DUMMYFUNCTION("""COMPUTED_VALUE"""),"Asia-Pacific")</f>
        <v>Asia-Pacific</v>
      </c>
      <c r="O595" s="5" t="str">
        <f>IFERROR(__xludf.DUMMYFUNCTION("""COMPUTED_VALUE"""),"developing")</f>
        <v>developing</v>
      </c>
      <c r="P595" s="5"/>
      <c r="Q595" s="5"/>
    </row>
    <row r="596">
      <c r="A596" s="5" t="str">
        <f>IFERROR(__xludf.DUMMYFUNCTION("""COMPUTED_VALUE"""),"Outbound")</f>
        <v>Outbound</v>
      </c>
      <c r="B596" s="5">
        <f>IFERROR(__xludf.DUMMYFUNCTION("""COMPUTED_VALUE"""),491.0)</f>
        <v>491</v>
      </c>
      <c r="C596" s="5" t="str">
        <f>IFERROR(__xludf.DUMMYFUNCTION("""COMPUTED_VALUE"""),"VASILIY BOZHENKO")</f>
        <v>VASILIY BOZHENKO</v>
      </c>
      <c r="D596" s="5">
        <f>IFERROR(__xludf.DUMMYFUNCTION("""COMPUTED_VALUE"""),8623999.0)</f>
        <v>8623999</v>
      </c>
      <c r="E596" s="5" t="str">
        <f>IFERROR(__xludf.DUMMYFUNCTION("""COMPUTED_VALUE"""),"Chornomorsk")</f>
        <v>Chornomorsk</v>
      </c>
      <c r="F596" s="5" t="str">
        <f>IFERROR(__xludf.DUMMYFUNCTION("""COMPUTED_VALUE"""),"Türkiye")</f>
        <v>Türkiye</v>
      </c>
      <c r="G596" s="5" t="str">
        <f>IFERROR(__xludf.DUMMYFUNCTION("""COMPUTED_VALUE"""),"Sunflower seed")</f>
        <v>Sunflower seed</v>
      </c>
      <c r="H596" s="6">
        <f>IFERROR(__xludf.DUMMYFUNCTION("""COMPUTED_VALUE"""),1500.0)</f>
        <v>1500</v>
      </c>
      <c r="I596" s="7">
        <f>IFERROR(__xludf.DUMMYFUNCTION("""COMPUTED_VALUE"""),44888.0)</f>
        <v>44888</v>
      </c>
      <c r="J596" s="7">
        <f>IFERROR(__xludf.DUMMYFUNCTION("""COMPUTED_VALUE"""),44896.0)</f>
        <v>44896</v>
      </c>
      <c r="K596" s="5" t="str">
        <f>IFERROR(__xludf.DUMMYFUNCTION("""COMPUTED_VALUE"""),"upper-middle-income")</f>
        <v>upper-middle-income</v>
      </c>
      <c r="L596" s="5" t="str">
        <f>IFERROR(__xludf.DUMMYFUNCTION("""COMPUTED_VALUE"""),"Ukraine")</f>
        <v>Ukraine</v>
      </c>
      <c r="M596" s="5" t="str">
        <f>IFERROR(__xludf.DUMMYFUNCTION("""COMPUTED_VALUE"""),"Europe &amp; Central Asia")</f>
        <v>Europe &amp; Central Asia</v>
      </c>
      <c r="N596" s="5" t="str">
        <f>IFERROR(__xludf.DUMMYFUNCTION("""COMPUTED_VALUE"""),"Asia-Pacific")</f>
        <v>Asia-Pacific</v>
      </c>
      <c r="O596" s="5" t="str">
        <f>IFERROR(__xludf.DUMMYFUNCTION("""COMPUTED_VALUE"""),"developing")</f>
        <v>developing</v>
      </c>
      <c r="P596" s="5"/>
      <c r="Q596" s="5" t="str">
        <f>IFERROR(__xludf.DUMMYFUNCTION("""COMPUTED_VALUE"""),"Stranded")</f>
        <v>Stranded</v>
      </c>
    </row>
    <row r="597">
      <c r="A597" s="5" t="str">
        <f>IFERROR(__xludf.DUMMYFUNCTION("""COMPUTED_VALUE"""),"Outbound")</f>
        <v>Outbound</v>
      </c>
      <c r="B597" s="5">
        <f>IFERROR(__xludf.DUMMYFUNCTION("""COMPUTED_VALUE"""),490.0)</f>
        <v>490</v>
      </c>
      <c r="C597" s="5" t="str">
        <f>IFERROR(__xludf.DUMMYFUNCTION("""COMPUTED_VALUE"""),"PUFFIN S")</f>
        <v>PUFFIN S</v>
      </c>
      <c r="D597" s="5">
        <f>IFERROR(__xludf.DUMMYFUNCTION("""COMPUTED_VALUE"""),9164811.0)</f>
        <v>9164811</v>
      </c>
      <c r="E597" s="5" t="str">
        <f>IFERROR(__xludf.DUMMYFUNCTION("""COMPUTED_VALUE"""),"Chornomorsk")</f>
        <v>Chornomorsk</v>
      </c>
      <c r="F597" s="5" t="str">
        <f>IFERROR(__xludf.DUMMYFUNCTION("""COMPUTED_VALUE"""),"Türkiye")</f>
        <v>Türkiye</v>
      </c>
      <c r="G597" s="5" t="str">
        <f>IFERROR(__xludf.DUMMYFUNCTION("""COMPUTED_VALUE"""),"Wheat")</f>
        <v>Wheat</v>
      </c>
      <c r="H597" s="6">
        <f>IFERROR(__xludf.DUMMYFUNCTION("""COMPUTED_VALUE"""),18100.0)</f>
        <v>18100</v>
      </c>
      <c r="I597" s="7">
        <f>IFERROR(__xludf.DUMMYFUNCTION("""COMPUTED_VALUE"""),44888.0)</f>
        <v>44888</v>
      </c>
      <c r="J597" s="7">
        <f>IFERROR(__xludf.DUMMYFUNCTION("""COMPUTED_VALUE"""),44896.0)</f>
        <v>44896</v>
      </c>
      <c r="K597" s="5" t="str">
        <f>IFERROR(__xludf.DUMMYFUNCTION("""COMPUTED_VALUE"""),"upper-middle-income")</f>
        <v>upper-middle-income</v>
      </c>
      <c r="L597" s="5" t="str">
        <f>IFERROR(__xludf.DUMMYFUNCTION("""COMPUTED_VALUE"""),"Liberia")</f>
        <v>Liberia</v>
      </c>
      <c r="M597" s="5" t="str">
        <f>IFERROR(__xludf.DUMMYFUNCTION("""COMPUTED_VALUE"""),"Europe &amp; Central Asia")</f>
        <v>Europe &amp; Central Asia</v>
      </c>
      <c r="N597" s="5" t="str">
        <f>IFERROR(__xludf.DUMMYFUNCTION("""COMPUTED_VALUE"""),"Asia-Pacific")</f>
        <v>Asia-Pacific</v>
      </c>
      <c r="O597" s="5" t="str">
        <f>IFERROR(__xludf.DUMMYFUNCTION("""COMPUTED_VALUE"""),"developing")</f>
        <v>developing</v>
      </c>
      <c r="P597" s="5"/>
      <c r="Q597" s="5"/>
    </row>
    <row r="598">
      <c r="A598" s="5" t="str">
        <f>IFERROR(__xludf.DUMMYFUNCTION("""COMPUTED_VALUE"""),"Outbound")</f>
        <v>Outbound</v>
      </c>
      <c r="B598" s="5">
        <f>IFERROR(__xludf.DUMMYFUNCTION("""COMPUTED_VALUE"""),489.0)</f>
        <v>489</v>
      </c>
      <c r="C598" s="5" t="str">
        <f>IFERROR(__xludf.DUMMYFUNCTION("""COMPUTED_VALUE"""),"KYDONIA")</f>
        <v>KYDONIA</v>
      </c>
      <c r="D598" s="5">
        <f>IFERROR(__xludf.DUMMYFUNCTION("""COMPUTED_VALUE"""),9588615.0)</f>
        <v>9588615</v>
      </c>
      <c r="E598" s="5" t="str">
        <f>IFERROR(__xludf.DUMMYFUNCTION("""COMPUTED_VALUE"""),"Yuzhny/Pivdennyi")</f>
        <v>Yuzhny/Pivdennyi</v>
      </c>
      <c r="F598" s="5" t="str">
        <f>IFERROR(__xludf.DUMMYFUNCTION("""COMPUTED_VALUE"""),"Spain")</f>
        <v>Spain</v>
      </c>
      <c r="G598" s="5" t="str">
        <f>IFERROR(__xludf.DUMMYFUNCTION("""COMPUTED_VALUE"""),"Barley")</f>
        <v>Barley</v>
      </c>
      <c r="H598" s="6">
        <f>IFERROR(__xludf.DUMMYFUNCTION("""COMPUTED_VALUE"""),66000.0)</f>
        <v>66000</v>
      </c>
      <c r="I598" s="7">
        <f>IFERROR(__xludf.DUMMYFUNCTION("""COMPUTED_VALUE"""),44888.0)</f>
        <v>44888</v>
      </c>
      <c r="J598" s="7">
        <f>IFERROR(__xludf.DUMMYFUNCTION("""COMPUTED_VALUE"""),44898.0)</f>
        <v>44898</v>
      </c>
      <c r="K598" s="5" t="str">
        <f>IFERROR(__xludf.DUMMYFUNCTION("""COMPUTED_VALUE"""),"high-income")</f>
        <v>high-income</v>
      </c>
      <c r="L598" s="5" t="str">
        <f>IFERROR(__xludf.DUMMYFUNCTION("""COMPUTED_VALUE"""),"Greece")</f>
        <v>Greece</v>
      </c>
      <c r="M598" s="5" t="str">
        <f>IFERROR(__xludf.DUMMYFUNCTION("""COMPUTED_VALUE"""),"Europe &amp; Central Asia")</f>
        <v>Europe &amp; Central Asia</v>
      </c>
      <c r="N598" s="5" t="str">
        <f>IFERROR(__xludf.DUMMYFUNCTION("""COMPUTED_VALUE"""),"Western Europe and Others")</f>
        <v>Western Europe and Others</v>
      </c>
      <c r="O598" s="5" t="str">
        <f>IFERROR(__xludf.DUMMYFUNCTION("""COMPUTED_VALUE"""),"developed")</f>
        <v>developed</v>
      </c>
      <c r="P598" s="5"/>
      <c r="Q598" s="5"/>
    </row>
    <row r="599">
      <c r="A599" s="5" t="str">
        <f>IFERROR(__xludf.DUMMYFUNCTION("""COMPUTED_VALUE"""),"Outbound")</f>
        <v>Outbound</v>
      </c>
      <c r="B599" s="5">
        <f>IFERROR(__xludf.DUMMYFUNCTION("""COMPUTED_VALUE"""),488.0)</f>
        <v>488</v>
      </c>
      <c r="C599" s="5" t="str">
        <f>IFERROR(__xludf.DUMMYFUNCTION("""COMPUTED_VALUE"""),"EVANGELISTRIA")</f>
        <v>EVANGELISTRIA</v>
      </c>
      <c r="D599" s="5">
        <f>IFERROR(__xludf.DUMMYFUNCTION("""COMPUTED_VALUE"""),9383857.0)</f>
        <v>9383857</v>
      </c>
      <c r="E599" s="5" t="str">
        <f>IFERROR(__xludf.DUMMYFUNCTION("""COMPUTED_VALUE"""),"Yuzhny/Pivdennyi")</f>
        <v>Yuzhny/Pivdennyi</v>
      </c>
      <c r="F599" s="5" t="str">
        <f>IFERROR(__xludf.DUMMYFUNCTION("""COMPUTED_VALUE"""),"France")</f>
        <v>France</v>
      </c>
      <c r="G599" s="5" t="str">
        <f>IFERROR(__xludf.DUMMYFUNCTION("""COMPUTED_VALUE"""),"Sunflower seed")</f>
        <v>Sunflower seed</v>
      </c>
      <c r="H599" s="6">
        <f>IFERROR(__xludf.DUMMYFUNCTION("""COMPUTED_VALUE"""),40771.0)</f>
        <v>40771</v>
      </c>
      <c r="I599" s="7">
        <f>IFERROR(__xludf.DUMMYFUNCTION("""COMPUTED_VALUE"""),44888.0)</f>
        <v>44888</v>
      </c>
      <c r="J599" s="7">
        <f>IFERROR(__xludf.DUMMYFUNCTION("""COMPUTED_VALUE"""),44898.0)</f>
        <v>44898</v>
      </c>
      <c r="K599" s="5" t="str">
        <f>IFERROR(__xludf.DUMMYFUNCTION("""COMPUTED_VALUE"""),"high-income")</f>
        <v>high-income</v>
      </c>
      <c r="L599" s="5" t="str">
        <f>IFERROR(__xludf.DUMMYFUNCTION("""COMPUTED_VALUE"""),"Liberia")</f>
        <v>Liberia</v>
      </c>
      <c r="M599" s="5" t="str">
        <f>IFERROR(__xludf.DUMMYFUNCTION("""COMPUTED_VALUE"""),"Europe &amp; Central Asia")</f>
        <v>Europe &amp; Central Asia</v>
      </c>
      <c r="N599" s="5" t="str">
        <f>IFERROR(__xludf.DUMMYFUNCTION("""COMPUTED_VALUE"""),"Western Europe and Others")</f>
        <v>Western Europe and Others</v>
      </c>
      <c r="O599" s="5" t="str">
        <f>IFERROR(__xludf.DUMMYFUNCTION("""COMPUTED_VALUE"""),"developed")</f>
        <v>developed</v>
      </c>
      <c r="P599" s="5"/>
      <c r="Q599" s="5"/>
    </row>
    <row r="600">
      <c r="A600" s="5" t="str">
        <f>IFERROR(__xludf.DUMMYFUNCTION("""COMPUTED_VALUE"""),"Outbound")</f>
        <v>Outbound</v>
      </c>
      <c r="B600" s="5">
        <f>IFERROR(__xludf.DUMMYFUNCTION("""COMPUTED_VALUE"""),487.0)</f>
        <v>487</v>
      </c>
      <c r="C600" s="5" t="str">
        <f>IFERROR(__xludf.DUMMYFUNCTION("""COMPUTED_VALUE"""),"EIDER S")</f>
        <v>EIDER S</v>
      </c>
      <c r="D600" s="5">
        <f>IFERROR(__xludf.DUMMYFUNCTION("""COMPUTED_VALUE"""),9364784.0)</f>
        <v>9364784</v>
      </c>
      <c r="E600" s="5" t="str">
        <f>IFERROR(__xludf.DUMMYFUNCTION("""COMPUTED_VALUE"""),"Odesa")</f>
        <v>Odesa</v>
      </c>
      <c r="F600" s="5" t="str">
        <f>IFERROR(__xludf.DUMMYFUNCTION("""COMPUTED_VALUE"""),"Spain")</f>
        <v>Spain</v>
      </c>
      <c r="G600" s="5" t="str">
        <f>IFERROR(__xludf.DUMMYFUNCTION("""COMPUTED_VALUE"""),"Corn")</f>
        <v>Corn</v>
      </c>
      <c r="H600" s="6">
        <f>IFERROR(__xludf.DUMMYFUNCTION("""COMPUTED_VALUE"""),50000.0)</f>
        <v>50000</v>
      </c>
      <c r="I600" s="7">
        <f>IFERROR(__xludf.DUMMYFUNCTION("""COMPUTED_VALUE"""),44887.0)</f>
        <v>44887</v>
      </c>
      <c r="J600" s="7">
        <f>IFERROR(__xludf.DUMMYFUNCTION("""COMPUTED_VALUE"""),44893.0)</f>
        <v>44893</v>
      </c>
      <c r="K600" s="5" t="str">
        <f>IFERROR(__xludf.DUMMYFUNCTION("""COMPUTED_VALUE"""),"high-income")</f>
        <v>high-income</v>
      </c>
      <c r="L600" s="5" t="str">
        <f>IFERROR(__xludf.DUMMYFUNCTION("""COMPUTED_VALUE"""),"Liberia")</f>
        <v>Liberia</v>
      </c>
      <c r="M600" s="5" t="str">
        <f>IFERROR(__xludf.DUMMYFUNCTION("""COMPUTED_VALUE"""),"Europe &amp; Central Asia")</f>
        <v>Europe &amp; Central Asia</v>
      </c>
      <c r="N600" s="5" t="str">
        <f>IFERROR(__xludf.DUMMYFUNCTION("""COMPUTED_VALUE"""),"Western Europe and Others")</f>
        <v>Western Europe and Others</v>
      </c>
      <c r="O600" s="5" t="str">
        <f>IFERROR(__xludf.DUMMYFUNCTION("""COMPUTED_VALUE"""),"developed")</f>
        <v>developed</v>
      </c>
      <c r="P600" s="5"/>
      <c r="Q600" s="5"/>
    </row>
    <row r="601">
      <c r="A601" s="5" t="str">
        <f>IFERROR(__xludf.DUMMYFUNCTION("""COMPUTED_VALUE"""),"Outbound")</f>
        <v>Outbound</v>
      </c>
      <c r="B601" s="5">
        <f>IFERROR(__xludf.DUMMYFUNCTION("""COMPUTED_VALUE"""),486.0)</f>
        <v>486</v>
      </c>
      <c r="C601" s="5" t="str">
        <f>IFERROR(__xludf.DUMMYFUNCTION("""COMPUTED_VALUE"""),"MRC SEMIRAMIS")</f>
        <v>MRC SEMIRAMIS</v>
      </c>
      <c r="D601" s="5">
        <f>IFERROR(__xludf.DUMMYFUNCTION("""COMPUTED_VALUE"""),9418793.0)</f>
        <v>9418793</v>
      </c>
      <c r="E601" s="5" t="str">
        <f>IFERROR(__xludf.DUMMYFUNCTION("""COMPUTED_VALUE"""),"Chornomorsk")</f>
        <v>Chornomorsk</v>
      </c>
      <c r="F601" s="5" t="str">
        <f>IFERROR(__xludf.DUMMYFUNCTION("""COMPUTED_VALUE"""),"Spain")</f>
        <v>Spain</v>
      </c>
      <c r="G601" s="5" t="str">
        <f>IFERROR(__xludf.DUMMYFUNCTION("""COMPUTED_VALUE"""),"Sunflower oil")</f>
        <v>Sunflower oil</v>
      </c>
      <c r="H601" s="6">
        <f>IFERROR(__xludf.DUMMYFUNCTION("""COMPUTED_VALUE"""),5788.0)</f>
        <v>5788</v>
      </c>
      <c r="I601" s="7">
        <f>IFERROR(__xludf.DUMMYFUNCTION("""COMPUTED_VALUE"""),44886.0)</f>
        <v>44886</v>
      </c>
      <c r="J601" s="7">
        <f>IFERROR(__xludf.DUMMYFUNCTION("""COMPUTED_VALUE"""),44892.0)</f>
        <v>44892</v>
      </c>
      <c r="K601" s="5" t="str">
        <f>IFERROR(__xludf.DUMMYFUNCTION("""COMPUTED_VALUE"""),"high-income")</f>
        <v>high-income</v>
      </c>
      <c r="L601" s="5" t="str">
        <f>IFERROR(__xludf.DUMMYFUNCTION("""COMPUTED_VALUE"""),"Barbados")</f>
        <v>Barbados</v>
      </c>
      <c r="M601" s="5" t="str">
        <f>IFERROR(__xludf.DUMMYFUNCTION("""COMPUTED_VALUE"""),"Europe &amp; Central Asia")</f>
        <v>Europe &amp; Central Asia</v>
      </c>
      <c r="N601" s="5" t="str">
        <f>IFERROR(__xludf.DUMMYFUNCTION("""COMPUTED_VALUE"""),"Western Europe and Others")</f>
        <v>Western Europe and Others</v>
      </c>
      <c r="O601" s="5" t="str">
        <f>IFERROR(__xludf.DUMMYFUNCTION("""COMPUTED_VALUE"""),"developed")</f>
        <v>developed</v>
      </c>
      <c r="P601" s="5"/>
      <c r="Q601" s="5"/>
    </row>
    <row r="602">
      <c r="A602" s="5" t="str">
        <f>IFERROR(__xludf.DUMMYFUNCTION("""COMPUTED_VALUE"""),"Outbound")</f>
        <v>Outbound</v>
      </c>
      <c r="B602" s="5">
        <f>IFERROR(__xludf.DUMMYFUNCTION("""COMPUTED_VALUE"""),485.0)</f>
        <v>485</v>
      </c>
      <c r="C602" s="5" t="str">
        <f>IFERROR(__xludf.DUMMYFUNCTION("""COMPUTED_VALUE"""),"ELLIREA")</f>
        <v>ELLIREA</v>
      </c>
      <c r="D602" s="5">
        <f>IFERROR(__xludf.DUMMYFUNCTION("""COMPUTED_VALUE"""),9757008.0)</f>
        <v>9757008</v>
      </c>
      <c r="E602" s="5" t="str">
        <f>IFERROR(__xludf.DUMMYFUNCTION("""COMPUTED_VALUE"""),"Yuzhny/Pivdennyi")</f>
        <v>Yuzhny/Pivdennyi</v>
      </c>
      <c r="F602" s="5" t="str">
        <f>IFERROR(__xludf.DUMMYFUNCTION("""COMPUTED_VALUE"""),"Israel")</f>
        <v>Israel</v>
      </c>
      <c r="G602" s="5" t="str">
        <f>IFERROR(__xludf.DUMMYFUNCTION("""COMPUTED_VALUE"""),"Corn")</f>
        <v>Corn</v>
      </c>
      <c r="H602" s="6">
        <f>IFERROR(__xludf.DUMMYFUNCTION("""COMPUTED_VALUE"""),44699.0)</f>
        <v>44699</v>
      </c>
      <c r="I602" s="7">
        <f>IFERROR(__xludf.DUMMYFUNCTION("""COMPUTED_VALUE"""),44886.0)</f>
        <v>44886</v>
      </c>
      <c r="J602" s="7">
        <f>IFERROR(__xludf.DUMMYFUNCTION("""COMPUTED_VALUE"""),44904.0)</f>
        <v>44904</v>
      </c>
      <c r="K602" s="5" t="str">
        <f>IFERROR(__xludf.DUMMYFUNCTION("""COMPUTED_VALUE"""),"high-income")</f>
        <v>high-income</v>
      </c>
      <c r="L602" s="5" t="str">
        <f>IFERROR(__xludf.DUMMYFUNCTION("""COMPUTED_VALUE"""),"Malta")</f>
        <v>Malta</v>
      </c>
      <c r="M602" s="5" t="str">
        <f>IFERROR(__xludf.DUMMYFUNCTION("""COMPUTED_VALUE"""),"Middle East &amp; North Africa")</f>
        <v>Middle East &amp; North Africa</v>
      </c>
      <c r="N602" s="5" t="str">
        <f>IFERROR(__xludf.DUMMYFUNCTION("""COMPUTED_VALUE"""),"Western Europe and Others")</f>
        <v>Western Europe and Others</v>
      </c>
      <c r="O602" s="5" t="str">
        <f>IFERROR(__xludf.DUMMYFUNCTION("""COMPUTED_VALUE"""),"developed")</f>
        <v>developed</v>
      </c>
      <c r="P602" s="5"/>
      <c r="Q602" s="5"/>
    </row>
    <row r="603">
      <c r="A603" s="5" t="str">
        <f>IFERROR(__xludf.DUMMYFUNCTION("""COMPUTED_VALUE"""),"Outbound +")</f>
        <v>Outbound +</v>
      </c>
      <c r="B603" s="5">
        <f>IFERROR(__xludf.DUMMYFUNCTION("""COMPUTED_VALUE"""),485.0)</f>
        <v>485</v>
      </c>
      <c r="C603" s="5" t="str">
        <f>IFERROR(__xludf.DUMMYFUNCTION("""COMPUTED_VALUE"""),"ELLIREA")</f>
        <v>ELLIREA</v>
      </c>
      <c r="D603" s="5">
        <f>IFERROR(__xludf.DUMMYFUNCTION("""COMPUTED_VALUE"""),9757008.0)</f>
        <v>9757008</v>
      </c>
      <c r="E603" s="5" t="str">
        <f>IFERROR(__xludf.DUMMYFUNCTION("""COMPUTED_VALUE"""),"Yuzhny/Pivdennyi")</f>
        <v>Yuzhny/Pivdennyi</v>
      </c>
      <c r="F603" s="5" t="str">
        <f>IFERROR(__xludf.DUMMYFUNCTION("""COMPUTED_VALUE"""),"Israel")</f>
        <v>Israel</v>
      </c>
      <c r="G603" s="5" t="str">
        <f>IFERROR(__xludf.DUMMYFUNCTION("""COMPUTED_VALUE"""),"Wheat")</f>
        <v>Wheat</v>
      </c>
      <c r="H603" s="6">
        <f>IFERROR(__xludf.DUMMYFUNCTION("""COMPUTED_VALUE"""),12441.0)</f>
        <v>12441</v>
      </c>
      <c r="I603" s="7">
        <f>IFERROR(__xludf.DUMMYFUNCTION("""COMPUTED_VALUE"""),44886.0)</f>
        <v>44886</v>
      </c>
      <c r="J603" s="7">
        <f>IFERROR(__xludf.DUMMYFUNCTION("""COMPUTED_VALUE"""),44904.0)</f>
        <v>44904</v>
      </c>
      <c r="K603" s="5" t="str">
        <f>IFERROR(__xludf.DUMMYFUNCTION("""COMPUTED_VALUE"""),"high-income")</f>
        <v>high-income</v>
      </c>
      <c r="L603" s="5" t="str">
        <f>IFERROR(__xludf.DUMMYFUNCTION("""COMPUTED_VALUE"""),"Malta")</f>
        <v>Malta</v>
      </c>
      <c r="M603" s="5" t="str">
        <f>IFERROR(__xludf.DUMMYFUNCTION("""COMPUTED_VALUE"""),"Middle East &amp; North Africa")</f>
        <v>Middle East &amp; North Africa</v>
      </c>
      <c r="N603" s="5" t="str">
        <f>IFERROR(__xludf.DUMMYFUNCTION("""COMPUTED_VALUE"""),"Western Europe and Others")</f>
        <v>Western Europe and Others</v>
      </c>
      <c r="O603" s="5" t="str">
        <f>IFERROR(__xludf.DUMMYFUNCTION("""COMPUTED_VALUE"""),"developed")</f>
        <v>developed</v>
      </c>
      <c r="P603" s="5"/>
      <c r="Q603" s="5"/>
    </row>
    <row r="604">
      <c r="A604" s="5" t="str">
        <f>IFERROR(__xludf.DUMMYFUNCTION("""COMPUTED_VALUE"""),"Outbound")</f>
        <v>Outbound</v>
      </c>
      <c r="B604" s="5">
        <f>IFERROR(__xludf.DUMMYFUNCTION("""COMPUTED_VALUE"""),484.0)</f>
        <v>484</v>
      </c>
      <c r="C604" s="5" t="str">
        <f>IFERROR(__xludf.DUMMYFUNCTION("""COMPUTED_VALUE"""),"AG VALOR")</f>
        <v>AG VALOR</v>
      </c>
      <c r="D604" s="5">
        <f>IFERROR(__xludf.DUMMYFUNCTION("""COMPUTED_VALUE"""),9312327.0)</f>
        <v>9312327</v>
      </c>
      <c r="E604" s="5" t="str">
        <f>IFERROR(__xludf.DUMMYFUNCTION("""COMPUTED_VALUE"""),"Yuzhny/Pivdennyi")</f>
        <v>Yuzhny/Pivdennyi</v>
      </c>
      <c r="F604" s="5" t="str">
        <f>IFERROR(__xludf.DUMMYFUNCTION("""COMPUTED_VALUE"""),"Türkiye")</f>
        <v>Türkiye</v>
      </c>
      <c r="G604" s="5" t="str">
        <f>IFERROR(__xludf.DUMMYFUNCTION("""COMPUTED_VALUE"""),"Wheat")</f>
        <v>Wheat</v>
      </c>
      <c r="H604" s="6">
        <f>IFERROR(__xludf.DUMMYFUNCTION("""COMPUTED_VALUE"""),27500.0)</f>
        <v>27500</v>
      </c>
      <c r="I604" s="7">
        <f>IFERROR(__xludf.DUMMYFUNCTION("""COMPUTED_VALUE"""),44886.0)</f>
        <v>44886</v>
      </c>
      <c r="J604" s="7">
        <f>IFERROR(__xludf.DUMMYFUNCTION("""COMPUTED_VALUE"""),44895.0)</f>
        <v>44895</v>
      </c>
      <c r="K604" s="5" t="str">
        <f>IFERROR(__xludf.DUMMYFUNCTION("""COMPUTED_VALUE"""),"upper-middle-income")</f>
        <v>upper-middle-income</v>
      </c>
      <c r="L604" s="5" t="str">
        <f>IFERROR(__xludf.DUMMYFUNCTION("""COMPUTED_VALUE"""),"Panama")</f>
        <v>Panama</v>
      </c>
      <c r="M604" s="5" t="str">
        <f>IFERROR(__xludf.DUMMYFUNCTION("""COMPUTED_VALUE"""),"Europe &amp; Central Asia")</f>
        <v>Europe &amp; Central Asia</v>
      </c>
      <c r="N604" s="5" t="str">
        <f>IFERROR(__xludf.DUMMYFUNCTION("""COMPUTED_VALUE"""),"Asia-Pacific")</f>
        <v>Asia-Pacific</v>
      </c>
      <c r="O604" s="5" t="str">
        <f>IFERROR(__xludf.DUMMYFUNCTION("""COMPUTED_VALUE"""),"developing")</f>
        <v>developing</v>
      </c>
      <c r="P604" s="5"/>
      <c r="Q604" s="5"/>
    </row>
    <row r="605">
      <c r="A605" s="5" t="str">
        <f>IFERROR(__xludf.DUMMYFUNCTION("""COMPUTED_VALUE"""),"Outbound")</f>
        <v>Outbound</v>
      </c>
      <c r="B605" s="5">
        <f>IFERROR(__xludf.DUMMYFUNCTION("""COMPUTED_VALUE"""),483.0)</f>
        <v>483</v>
      </c>
      <c r="C605" s="5" t="str">
        <f>IFERROR(__xludf.DUMMYFUNCTION("""COMPUTED_VALUE"""),"OLMA")</f>
        <v>OLMA</v>
      </c>
      <c r="D605" s="5">
        <f>IFERROR(__xludf.DUMMYFUNCTION("""COMPUTED_VALUE"""),8004806.0)</f>
        <v>8004806</v>
      </c>
      <c r="E605" s="5" t="str">
        <f>IFERROR(__xludf.DUMMYFUNCTION("""COMPUTED_VALUE"""),"Chornomorsk")</f>
        <v>Chornomorsk</v>
      </c>
      <c r="F605" s="5" t="str">
        <f>IFERROR(__xludf.DUMMYFUNCTION("""COMPUTED_VALUE"""),"Türkiye")</f>
        <v>Türkiye</v>
      </c>
      <c r="G605" s="5" t="str">
        <f>IFERROR(__xludf.DUMMYFUNCTION("""COMPUTED_VALUE"""),"Wheat")</f>
        <v>Wheat</v>
      </c>
      <c r="H605" s="6">
        <f>IFERROR(__xludf.DUMMYFUNCTION("""COMPUTED_VALUE"""),5602.0)</f>
        <v>5602</v>
      </c>
      <c r="I605" s="7">
        <f>IFERROR(__xludf.DUMMYFUNCTION("""COMPUTED_VALUE"""),44885.0)</f>
        <v>44885</v>
      </c>
      <c r="J605" s="7">
        <f>IFERROR(__xludf.DUMMYFUNCTION("""COMPUTED_VALUE"""),44898.0)</f>
        <v>44898</v>
      </c>
      <c r="K605" s="5" t="str">
        <f>IFERROR(__xludf.DUMMYFUNCTION("""COMPUTED_VALUE"""),"upper-middle-income")</f>
        <v>upper-middle-income</v>
      </c>
      <c r="L605" s="5" t="str">
        <f>IFERROR(__xludf.DUMMYFUNCTION("""COMPUTED_VALUE"""),"Honduras")</f>
        <v>Honduras</v>
      </c>
      <c r="M605" s="5" t="str">
        <f>IFERROR(__xludf.DUMMYFUNCTION("""COMPUTED_VALUE"""),"Europe &amp; Central Asia")</f>
        <v>Europe &amp; Central Asia</v>
      </c>
      <c r="N605" s="5" t="str">
        <f>IFERROR(__xludf.DUMMYFUNCTION("""COMPUTED_VALUE"""),"Asia-Pacific")</f>
        <v>Asia-Pacific</v>
      </c>
      <c r="O605" s="5" t="str">
        <f>IFERROR(__xludf.DUMMYFUNCTION("""COMPUTED_VALUE"""),"developing")</f>
        <v>developing</v>
      </c>
      <c r="P605" s="5"/>
      <c r="Q605" s="5"/>
    </row>
    <row r="606">
      <c r="A606" s="5" t="str">
        <f>IFERROR(__xludf.DUMMYFUNCTION("""COMPUTED_VALUE"""),"Outbound")</f>
        <v>Outbound</v>
      </c>
      <c r="B606" s="5">
        <f>IFERROR(__xludf.DUMMYFUNCTION("""COMPUTED_VALUE"""),482.0)</f>
        <v>482</v>
      </c>
      <c r="C606" s="5" t="str">
        <f>IFERROR(__xludf.DUMMYFUNCTION("""COMPUTED_VALUE"""),"NIKOLAS D")</f>
        <v>NIKOLAS D</v>
      </c>
      <c r="D606" s="5">
        <f>IFERROR(__xludf.DUMMYFUNCTION("""COMPUTED_VALUE"""),9474723.0)</f>
        <v>9474723</v>
      </c>
      <c r="E606" s="5" t="str">
        <f>IFERROR(__xludf.DUMMYFUNCTION("""COMPUTED_VALUE"""),"Yuzhny/Pivdennyi")</f>
        <v>Yuzhny/Pivdennyi</v>
      </c>
      <c r="F606" s="5" t="str">
        <f>IFERROR(__xludf.DUMMYFUNCTION("""COMPUTED_VALUE"""),"China")</f>
        <v>China</v>
      </c>
      <c r="G606" s="5" t="str">
        <f>IFERROR(__xludf.DUMMYFUNCTION("""COMPUTED_VALUE"""),"Corn")</f>
        <v>Corn</v>
      </c>
      <c r="H606" s="6">
        <f>IFERROR(__xludf.DUMMYFUNCTION("""COMPUTED_VALUE"""),66000.0)</f>
        <v>66000</v>
      </c>
      <c r="I606" s="7">
        <f>IFERROR(__xludf.DUMMYFUNCTION("""COMPUTED_VALUE"""),44885.0)</f>
        <v>44885</v>
      </c>
      <c r="J606" s="7">
        <f>IFERROR(__xludf.DUMMYFUNCTION("""COMPUTED_VALUE"""),44898.0)</f>
        <v>44898</v>
      </c>
      <c r="K606" s="5" t="str">
        <f>IFERROR(__xludf.DUMMYFUNCTION("""COMPUTED_VALUE"""),"upper-middle-income")</f>
        <v>upper-middle-income</v>
      </c>
      <c r="L606" s="5" t="str">
        <f>IFERROR(__xludf.DUMMYFUNCTION("""COMPUTED_VALUE"""),"Panama")</f>
        <v>Panama</v>
      </c>
      <c r="M606" s="5" t="str">
        <f>IFERROR(__xludf.DUMMYFUNCTION("""COMPUTED_VALUE"""),"East Asia &amp; Pacific")</f>
        <v>East Asia &amp; Pacific</v>
      </c>
      <c r="N606" s="5" t="str">
        <f>IFERROR(__xludf.DUMMYFUNCTION("""COMPUTED_VALUE"""),"Asia-Pacific")</f>
        <v>Asia-Pacific</v>
      </c>
      <c r="O606" s="5" t="str">
        <f>IFERROR(__xludf.DUMMYFUNCTION("""COMPUTED_VALUE"""),"developing")</f>
        <v>developing</v>
      </c>
      <c r="P606" s="5"/>
      <c r="Q606" s="5"/>
    </row>
    <row r="607">
      <c r="A607" s="5" t="str">
        <f>IFERROR(__xludf.DUMMYFUNCTION("""COMPUTED_VALUE"""),"Outbound")</f>
        <v>Outbound</v>
      </c>
      <c r="B607" s="5">
        <f>IFERROR(__xludf.DUMMYFUNCTION("""COMPUTED_VALUE"""),481.0)</f>
        <v>481</v>
      </c>
      <c r="C607" s="5" t="str">
        <f>IFERROR(__xludf.DUMMYFUNCTION("""COMPUTED_VALUE"""),"EAGLE TRADER")</f>
        <v>EAGLE TRADER</v>
      </c>
      <c r="D607" s="5">
        <f>IFERROR(__xludf.DUMMYFUNCTION("""COMPUTED_VALUE"""),9284362.0)</f>
        <v>9284362</v>
      </c>
      <c r="E607" s="5" t="str">
        <f>IFERROR(__xludf.DUMMYFUNCTION("""COMPUTED_VALUE"""),"Yuzhny/Pivdennyi")</f>
        <v>Yuzhny/Pivdennyi</v>
      </c>
      <c r="F607" s="5" t="str">
        <f>IFERROR(__xludf.DUMMYFUNCTION("""COMPUTED_VALUE"""),"Spain")</f>
        <v>Spain</v>
      </c>
      <c r="G607" s="5" t="str">
        <f>IFERROR(__xludf.DUMMYFUNCTION("""COMPUTED_VALUE"""),"Corn")</f>
        <v>Corn</v>
      </c>
      <c r="H607" s="6">
        <f>IFERROR(__xludf.DUMMYFUNCTION("""COMPUTED_VALUE"""),15291.0)</f>
        <v>15291</v>
      </c>
      <c r="I607" s="7">
        <f>IFERROR(__xludf.DUMMYFUNCTION("""COMPUTED_VALUE"""),44885.0)</f>
        <v>44885</v>
      </c>
      <c r="J607" s="7">
        <f>IFERROR(__xludf.DUMMYFUNCTION("""COMPUTED_VALUE"""),44896.0)</f>
        <v>44896</v>
      </c>
      <c r="K607" s="5" t="str">
        <f>IFERROR(__xludf.DUMMYFUNCTION("""COMPUTED_VALUE"""),"high-income")</f>
        <v>high-income</v>
      </c>
      <c r="L607" s="5" t="str">
        <f>IFERROR(__xludf.DUMMYFUNCTION("""COMPUTED_VALUE"""),"Barbados")</f>
        <v>Barbados</v>
      </c>
      <c r="M607" s="5" t="str">
        <f>IFERROR(__xludf.DUMMYFUNCTION("""COMPUTED_VALUE"""),"Europe &amp; Central Asia")</f>
        <v>Europe &amp; Central Asia</v>
      </c>
      <c r="N607" s="5" t="str">
        <f>IFERROR(__xludf.DUMMYFUNCTION("""COMPUTED_VALUE"""),"Western Europe and Others")</f>
        <v>Western Europe and Others</v>
      </c>
      <c r="O607" s="5" t="str">
        <f>IFERROR(__xludf.DUMMYFUNCTION("""COMPUTED_VALUE"""),"developed")</f>
        <v>developed</v>
      </c>
      <c r="P607" s="5"/>
      <c r="Q607" s="5"/>
    </row>
    <row r="608">
      <c r="A608" s="5" t="str">
        <f>IFERROR(__xludf.DUMMYFUNCTION("""COMPUTED_VALUE"""),"Outbound +")</f>
        <v>Outbound +</v>
      </c>
      <c r="B608" s="5">
        <f>IFERROR(__xludf.DUMMYFUNCTION("""COMPUTED_VALUE"""),481.0)</f>
        <v>481</v>
      </c>
      <c r="C608" s="5" t="str">
        <f>IFERROR(__xludf.DUMMYFUNCTION("""COMPUTED_VALUE"""),"EAGLE TRADER")</f>
        <v>EAGLE TRADER</v>
      </c>
      <c r="D608" s="5">
        <f>IFERROR(__xludf.DUMMYFUNCTION("""COMPUTED_VALUE"""),9284362.0)</f>
        <v>9284362</v>
      </c>
      <c r="E608" s="5" t="str">
        <f>IFERROR(__xludf.DUMMYFUNCTION("""COMPUTED_VALUE"""),"Yuzhny/Pivdennyi")</f>
        <v>Yuzhny/Pivdennyi</v>
      </c>
      <c r="F608" s="5" t="str">
        <f>IFERROR(__xludf.DUMMYFUNCTION("""COMPUTED_VALUE"""),"Spain")</f>
        <v>Spain</v>
      </c>
      <c r="G608" s="5" t="str">
        <f>IFERROR(__xludf.DUMMYFUNCTION("""COMPUTED_VALUE"""),"Wheat")</f>
        <v>Wheat</v>
      </c>
      <c r="H608" s="6">
        <f>IFERROR(__xludf.DUMMYFUNCTION("""COMPUTED_VALUE"""),10709.0)</f>
        <v>10709</v>
      </c>
      <c r="I608" s="7">
        <f>IFERROR(__xludf.DUMMYFUNCTION("""COMPUTED_VALUE"""),44885.0)</f>
        <v>44885</v>
      </c>
      <c r="J608" s="7">
        <f>IFERROR(__xludf.DUMMYFUNCTION("""COMPUTED_VALUE"""),44896.0)</f>
        <v>44896</v>
      </c>
      <c r="K608" s="5" t="str">
        <f>IFERROR(__xludf.DUMMYFUNCTION("""COMPUTED_VALUE"""),"high-income")</f>
        <v>high-income</v>
      </c>
      <c r="L608" s="5" t="str">
        <f>IFERROR(__xludf.DUMMYFUNCTION("""COMPUTED_VALUE"""),"Barbados")</f>
        <v>Barbados</v>
      </c>
      <c r="M608" s="5" t="str">
        <f>IFERROR(__xludf.DUMMYFUNCTION("""COMPUTED_VALUE"""),"Europe &amp; Central Asia")</f>
        <v>Europe &amp; Central Asia</v>
      </c>
      <c r="N608" s="5" t="str">
        <f>IFERROR(__xludf.DUMMYFUNCTION("""COMPUTED_VALUE"""),"Western Europe and Others")</f>
        <v>Western Europe and Others</v>
      </c>
      <c r="O608" s="5" t="str">
        <f>IFERROR(__xludf.DUMMYFUNCTION("""COMPUTED_VALUE"""),"developed")</f>
        <v>developed</v>
      </c>
      <c r="P608" s="5"/>
      <c r="Q608" s="5"/>
    </row>
    <row r="609">
      <c r="A609" s="5" t="str">
        <f>IFERROR(__xludf.DUMMYFUNCTION("""COMPUTED_VALUE"""),"Outbound")</f>
        <v>Outbound</v>
      </c>
      <c r="B609" s="5">
        <f>IFERROR(__xludf.DUMMYFUNCTION("""COMPUTED_VALUE"""),480.0)</f>
        <v>480</v>
      </c>
      <c r="C609" s="5" t="str">
        <f>IFERROR(__xludf.DUMMYFUNCTION("""COMPUTED_VALUE"""),"TASOS")</f>
        <v>TASOS</v>
      </c>
      <c r="D609" s="5">
        <f>IFERROR(__xludf.DUMMYFUNCTION("""COMPUTED_VALUE"""),9180906.0)</f>
        <v>9180906</v>
      </c>
      <c r="E609" s="5" t="str">
        <f>IFERROR(__xludf.DUMMYFUNCTION("""COMPUTED_VALUE"""),"Odesa")</f>
        <v>Odesa</v>
      </c>
      <c r="F609" s="5" t="str">
        <f>IFERROR(__xludf.DUMMYFUNCTION("""COMPUTED_VALUE"""),"Republic of Korea")</f>
        <v>Republic of Korea</v>
      </c>
      <c r="G609" s="5" t="str">
        <f>IFERROR(__xludf.DUMMYFUNCTION("""COMPUTED_VALUE"""),"Wheat")</f>
        <v>Wheat</v>
      </c>
      <c r="H609" s="6">
        <f>IFERROR(__xludf.DUMMYFUNCTION("""COMPUTED_VALUE"""),65000.0)</f>
        <v>65000</v>
      </c>
      <c r="I609" s="7">
        <f>IFERROR(__xludf.DUMMYFUNCTION("""COMPUTED_VALUE"""),44884.0)</f>
        <v>44884</v>
      </c>
      <c r="J609" s="7">
        <f>IFERROR(__xludf.DUMMYFUNCTION("""COMPUTED_VALUE"""),44889.0)</f>
        <v>44889</v>
      </c>
      <c r="K609" s="5" t="str">
        <f>IFERROR(__xludf.DUMMYFUNCTION("""COMPUTED_VALUE"""),"high-income")</f>
        <v>high-income</v>
      </c>
      <c r="L609" s="5" t="str">
        <f>IFERROR(__xludf.DUMMYFUNCTION("""COMPUTED_VALUE"""),"Marshall Islands")</f>
        <v>Marshall Islands</v>
      </c>
      <c r="M609" s="5" t="str">
        <f>IFERROR(__xludf.DUMMYFUNCTION("""COMPUTED_VALUE"""),"East Asia &amp; Pacific")</f>
        <v>East Asia &amp; Pacific</v>
      </c>
      <c r="N609" s="5" t="str">
        <f>IFERROR(__xludf.DUMMYFUNCTION("""COMPUTED_VALUE"""),"Asia-Pacific")</f>
        <v>Asia-Pacific</v>
      </c>
      <c r="O609" s="5" t="str">
        <f>IFERROR(__xludf.DUMMYFUNCTION("""COMPUTED_VALUE"""),"developed")</f>
        <v>developed</v>
      </c>
      <c r="P609" s="5"/>
      <c r="Q609" s="5"/>
    </row>
    <row r="610">
      <c r="A610" s="5" t="str">
        <f>IFERROR(__xludf.DUMMYFUNCTION("""COMPUTED_VALUE"""),"Outbound")</f>
        <v>Outbound</v>
      </c>
      <c r="B610" s="5">
        <f>IFERROR(__xludf.DUMMYFUNCTION("""COMPUTED_VALUE"""),479.0)</f>
        <v>479</v>
      </c>
      <c r="C610" s="5" t="str">
        <f>IFERROR(__xludf.DUMMYFUNCTION("""COMPUTED_VALUE"""),"PANAGIA KANALA")</f>
        <v>PANAGIA KANALA</v>
      </c>
      <c r="D610" s="5">
        <f>IFERROR(__xludf.DUMMYFUNCTION("""COMPUTED_VALUE"""),9553232.0)</f>
        <v>9553232</v>
      </c>
      <c r="E610" s="5" t="str">
        <f>IFERROR(__xludf.DUMMYFUNCTION("""COMPUTED_VALUE"""),"Chornomorsk")</f>
        <v>Chornomorsk</v>
      </c>
      <c r="F610" s="5" t="str">
        <f>IFERROR(__xludf.DUMMYFUNCTION("""COMPUTED_VALUE"""),"Belgium")</f>
        <v>Belgium</v>
      </c>
      <c r="G610" s="5" t="str">
        <f>IFERROR(__xludf.DUMMYFUNCTION("""COMPUTED_VALUE"""),"Rapeseed")</f>
        <v>Rapeseed</v>
      </c>
      <c r="H610" s="6">
        <f>IFERROR(__xludf.DUMMYFUNCTION("""COMPUTED_VALUE"""),44900.0)</f>
        <v>44900</v>
      </c>
      <c r="I610" s="7">
        <f>IFERROR(__xludf.DUMMYFUNCTION("""COMPUTED_VALUE"""),44884.0)</f>
        <v>44884</v>
      </c>
      <c r="J610" s="7">
        <f>IFERROR(__xludf.DUMMYFUNCTION("""COMPUTED_VALUE"""),44894.0)</f>
        <v>44894</v>
      </c>
      <c r="K610" s="5" t="str">
        <f>IFERROR(__xludf.DUMMYFUNCTION("""COMPUTED_VALUE"""),"high-income")</f>
        <v>high-income</v>
      </c>
      <c r="L610" s="5" t="str">
        <f>IFERROR(__xludf.DUMMYFUNCTION("""COMPUTED_VALUE"""),"Liberia")</f>
        <v>Liberia</v>
      </c>
      <c r="M610" s="5" t="str">
        <f>IFERROR(__xludf.DUMMYFUNCTION("""COMPUTED_VALUE"""),"Europe &amp; Central Asia")</f>
        <v>Europe &amp; Central Asia</v>
      </c>
      <c r="N610" s="5" t="str">
        <f>IFERROR(__xludf.DUMMYFUNCTION("""COMPUTED_VALUE"""),"Western Europe and Others")</f>
        <v>Western Europe and Others</v>
      </c>
      <c r="O610" s="5" t="str">
        <f>IFERROR(__xludf.DUMMYFUNCTION("""COMPUTED_VALUE"""),"developed")</f>
        <v>developed</v>
      </c>
      <c r="P610" s="5"/>
      <c r="Q610" s="5"/>
    </row>
    <row r="611">
      <c r="A611" s="5" t="str">
        <f>IFERROR(__xludf.DUMMYFUNCTION("""COMPUTED_VALUE"""),"Outbound")</f>
        <v>Outbound</v>
      </c>
      <c r="B611" s="5">
        <f>IFERROR(__xludf.DUMMYFUNCTION("""COMPUTED_VALUE"""),478.0)</f>
        <v>478</v>
      </c>
      <c r="C611" s="5" t="str">
        <f>IFERROR(__xludf.DUMMYFUNCTION("""COMPUTED_VALUE"""),"ODYSSEUS N")</f>
        <v>ODYSSEUS N</v>
      </c>
      <c r="D611" s="5">
        <f>IFERROR(__xludf.DUMMYFUNCTION("""COMPUTED_VALUE"""),9490442.0)</f>
        <v>9490442</v>
      </c>
      <c r="E611" s="5" t="str">
        <f>IFERROR(__xludf.DUMMYFUNCTION("""COMPUTED_VALUE"""),"Chornomorsk")</f>
        <v>Chornomorsk</v>
      </c>
      <c r="F611" s="5" t="str">
        <f>IFERROR(__xludf.DUMMYFUNCTION("""COMPUTED_VALUE"""),"China")</f>
        <v>China</v>
      </c>
      <c r="G611" s="5" t="str">
        <f>IFERROR(__xludf.DUMMYFUNCTION("""COMPUTED_VALUE"""),"Sunflower meal")</f>
        <v>Sunflower meal</v>
      </c>
      <c r="H611" s="6">
        <f>IFERROR(__xludf.DUMMYFUNCTION("""COMPUTED_VALUE"""),62843.0)</f>
        <v>62843</v>
      </c>
      <c r="I611" s="7">
        <f>IFERROR(__xludf.DUMMYFUNCTION("""COMPUTED_VALUE"""),44884.0)</f>
        <v>44884</v>
      </c>
      <c r="J611" s="7">
        <f>IFERROR(__xludf.DUMMYFUNCTION("""COMPUTED_VALUE"""),44894.0)</f>
        <v>44894</v>
      </c>
      <c r="K611" s="5" t="str">
        <f>IFERROR(__xludf.DUMMYFUNCTION("""COMPUTED_VALUE"""),"upper-middle-income")</f>
        <v>upper-middle-income</v>
      </c>
      <c r="L611" s="5" t="str">
        <f>IFERROR(__xludf.DUMMYFUNCTION("""COMPUTED_VALUE"""),"Marshall Islands")</f>
        <v>Marshall Islands</v>
      </c>
      <c r="M611" s="5" t="str">
        <f>IFERROR(__xludf.DUMMYFUNCTION("""COMPUTED_VALUE"""),"East Asia &amp; Pacific")</f>
        <v>East Asia &amp; Pacific</v>
      </c>
      <c r="N611" s="5" t="str">
        <f>IFERROR(__xludf.DUMMYFUNCTION("""COMPUTED_VALUE"""),"Asia-Pacific")</f>
        <v>Asia-Pacific</v>
      </c>
      <c r="O611" s="5" t="str">
        <f>IFERROR(__xludf.DUMMYFUNCTION("""COMPUTED_VALUE"""),"developing")</f>
        <v>developing</v>
      </c>
      <c r="P611" s="5"/>
      <c r="Q611" s="5"/>
    </row>
    <row r="612">
      <c r="A612" s="5" t="str">
        <f>IFERROR(__xludf.DUMMYFUNCTION("""COMPUTED_VALUE"""),"Outbound")</f>
        <v>Outbound</v>
      </c>
      <c r="B612" s="5">
        <f>IFERROR(__xludf.DUMMYFUNCTION("""COMPUTED_VALUE"""),477.0)</f>
        <v>477</v>
      </c>
      <c r="C612" s="5" t="str">
        <f>IFERROR(__xludf.DUMMYFUNCTION("""COMPUTED_VALUE"""),"CAPTAIN ADAMS")</f>
        <v>CAPTAIN ADAMS</v>
      </c>
      <c r="D612" s="5">
        <f>IFERROR(__xludf.DUMMYFUNCTION("""COMPUTED_VALUE"""),9737618.0)</f>
        <v>9737618</v>
      </c>
      <c r="E612" s="5" t="str">
        <f>IFERROR(__xludf.DUMMYFUNCTION("""COMPUTED_VALUE"""),"Chornomorsk")</f>
        <v>Chornomorsk</v>
      </c>
      <c r="F612" s="5" t="str">
        <f>IFERROR(__xludf.DUMMYFUNCTION("""COMPUTED_VALUE"""),"Republic of Korea")</f>
        <v>Republic of Korea</v>
      </c>
      <c r="G612" s="5" t="str">
        <f>IFERROR(__xludf.DUMMYFUNCTION("""COMPUTED_VALUE"""),"Corn")</f>
        <v>Corn</v>
      </c>
      <c r="H612" s="6">
        <f>IFERROR(__xludf.DUMMYFUNCTION("""COMPUTED_VALUE"""),62000.0)</f>
        <v>62000</v>
      </c>
      <c r="I612" s="7">
        <f>IFERROR(__xludf.DUMMYFUNCTION("""COMPUTED_VALUE"""),44884.0)</f>
        <v>44884</v>
      </c>
      <c r="J612" s="7">
        <f>IFERROR(__xludf.DUMMYFUNCTION("""COMPUTED_VALUE"""),44896.0)</f>
        <v>44896</v>
      </c>
      <c r="K612" s="5" t="str">
        <f>IFERROR(__xludf.DUMMYFUNCTION("""COMPUTED_VALUE"""),"high-income")</f>
        <v>high-income</v>
      </c>
      <c r="L612" s="5" t="str">
        <f>IFERROR(__xludf.DUMMYFUNCTION("""COMPUTED_VALUE"""),"Liberia")</f>
        <v>Liberia</v>
      </c>
      <c r="M612" s="5" t="str">
        <f>IFERROR(__xludf.DUMMYFUNCTION("""COMPUTED_VALUE"""),"East Asia &amp; Pacific")</f>
        <v>East Asia &amp; Pacific</v>
      </c>
      <c r="N612" s="5" t="str">
        <f>IFERROR(__xludf.DUMMYFUNCTION("""COMPUTED_VALUE"""),"Asia-Pacific")</f>
        <v>Asia-Pacific</v>
      </c>
      <c r="O612" s="5" t="str">
        <f>IFERROR(__xludf.DUMMYFUNCTION("""COMPUTED_VALUE"""),"developed")</f>
        <v>developed</v>
      </c>
      <c r="P612" s="5"/>
      <c r="Q612" s="5"/>
    </row>
    <row r="613">
      <c r="A613" s="5" t="str">
        <f>IFERROR(__xludf.DUMMYFUNCTION("""COMPUTED_VALUE"""),"Outbound")</f>
        <v>Outbound</v>
      </c>
      <c r="B613" s="5">
        <f>IFERROR(__xludf.DUMMYFUNCTION("""COMPUTED_VALUE"""),476.0)</f>
        <v>476</v>
      </c>
      <c r="C613" s="5" t="str">
        <f>IFERROR(__xludf.DUMMYFUNCTION("""COMPUTED_VALUE"""),"ANNABELLA")</f>
        <v>ANNABELLA</v>
      </c>
      <c r="D613" s="5">
        <f>IFERROR(__xludf.DUMMYFUNCTION("""COMPUTED_VALUE"""),8919788.0)</f>
        <v>8919788</v>
      </c>
      <c r="E613" s="5" t="str">
        <f>IFERROR(__xludf.DUMMYFUNCTION("""COMPUTED_VALUE"""),"Odesa")</f>
        <v>Odesa</v>
      </c>
      <c r="F613" s="5" t="str">
        <f>IFERROR(__xludf.DUMMYFUNCTION("""COMPUTED_VALUE"""),"Egypt")</f>
        <v>Egypt</v>
      </c>
      <c r="G613" s="5" t="str">
        <f>IFERROR(__xludf.DUMMYFUNCTION("""COMPUTED_VALUE"""),"Soya beans")</f>
        <v>Soya beans</v>
      </c>
      <c r="H613" s="6">
        <f>IFERROR(__xludf.DUMMYFUNCTION("""COMPUTED_VALUE"""),9400.0)</f>
        <v>9400</v>
      </c>
      <c r="I613" s="7">
        <f>IFERROR(__xludf.DUMMYFUNCTION("""COMPUTED_VALUE"""),44884.0)</f>
        <v>44884</v>
      </c>
      <c r="J613" s="7">
        <f>IFERROR(__xludf.DUMMYFUNCTION("""COMPUTED_VALUE"""),44900.0)</f>
        <v>44900</v>
      </c>
      <c r="K613" s="5" t="str">
        <f>IFERROR(__xludf.DUMMYFUNCTION("""COMPUTED_VALUE"""),"lower-middle income")</f>
        <v>lower-middle income</v>
      </c>
      <c r="L613" s="5" t="str">
        <f>IFERROR(__xludf.DUMMYFUNCTION("""COMPUTED_VALUE"""),"Comoros")</f>
        <v>Comoros</v>
      </c>
      <c r="M613" s="5" t="str">
        <f>IFERROR(__xludf.DUMMYFUNCTION("""COMPUTED_VALUE"""),"Middle East &amp; North Africa")</f>
        <v>Middle East &amp; North Africa</v>
      </c>
      <c r="N613" s="5" t="str">
        <f>IFERROR(__xludf.DUMMYFUNCTION("""COMPUTED_VALUE"""),"Africa")</f>
        <v>Africa</v>
      </c>
      <c r="O613" s="5" t="str">
        <f>IFERROR(__xludf.DUMMYFUNCTION("""COMPUTED_VALUE"""),"developing")</f>
        <v>developing</v>
      </c>
      <c r="P613" s="5"/>
      <c r="Q613" s="5"/>
    </row>
    <row r="614">
      <c r="A614" s="5" t="str">
        <f>IFERROR(__xludf.DUMMYFUNCTION("""COMPUTED_VALUE"""),"Outbound")</f>
        <v>Outbound</v>
      </c>
      <c r="B614" s="5">
        <f>IFERROR(__xludf.DUMMYFUNCTION("""COMPUTED_VALUE"""),475.0)</f>
        <v>475</v>
      </c>
      <c r="C614" s="5" t="str">
        <f>IFERROR(__xludf.DUMMYFUNCTION("""COMPUTED_VALUE"""),"PLEVNE")</f>
        <v>PLEVNE</v>
      </c>
      <c r="D614" s="5">
        <f>IFERROR(__xludf.DUMMYFUNCTION("""COMPUTED_VALUE"""),9340908.0)</f>
        <v>9340908</v>
      </c>
      <c r="E614" s="5" t="str">
        <f>IFERROR(__xludf.DUMMYFUNCTION("""COMPUTED_VALUE"""),"Odesa")</f>
        <v>Odesa</v>
      </c>
      <c r="F614" s="5" t="str">
        <f>IFERROR(__xludf.DUMMYFUNCTION("""COMPUTED_VALUE"""),"Italy")</f>
        <v>Italy</v>
      </c>
      <c r="G614" s="5" t="str">
        <f>IFERROR(__xludf.DUMMYFUNCTION("""COMPUTED_VALUE"""),"Sunflower oil")</f>
        <v>Sunflower oil</v>
      </c>
      <c r="H614" s="6">
        <f>IFERROR(__xludf.DUMMYFUNCTION("""COMPUTED_VALUE"""),6905.0)</f>
        <v>6905</v>
      </c>
      <c r="I614" s="7">
        <f>IFERROR(__xludf.DUMMYFUNCTION("""COMPUTED_VALUE"""),44883.0)</f>
        <v>44883</v>
      </c>
      <c r="J614" s="7">
        <f>IFERROR(__xludf.DUMMYFUNCTION("""COMPUTED_VALUE"""),44888.0)</f>
        <v>44888</v>
      </c>
      <c r="K614" s="5" t="str">
        <f>IFERROR(__xludf.DUMMYFUNCTION("""COMPUTED_VALUE"""),"high-income")</f>
        <v>high-income</v>
      </c>
      <c r="L614" s="5" t="str">
        <f>IFERROR(__xludf.DUMMYFUNCTION("""COMPUTED_VALUE"""),"Malta")</f>
        <v>Malta</v>
      </c>
      <c r="M614" s="5" t="str">
        <f>IFERROR(__xludf.DUMMYFUNCTION("""COMPUTED_VALUE"""),"Europe &amp; Central Asia")</f>
        <v>Europe &amp; Central Asia</v>
      </c>
      <c r="N614" s="5" t="str">
        <f>IFERROR(__xludf.DUMMYFUNCTION("""COMPUTED_VALUE"""),"Western Europe and Others")</f>
        <v>Western Europe and Others</v>
      </c>
      <c r="O614" s="5" t="str">
        <f>IFERROR(__xludf.DUMMYFUNCTION("""COMPUTED_VALUE"""),"developed")</f>
        <v>developed</v>
      </c>
      <c r="P614" s="5"/>
      <c r="Q614" s="5"/>
    </row>
    <row r="615">
      <c r="A615" s="5" t="str">
        <f>IFERROR(__xludf.DUMMYFUNCTION("""COMPUTED_VALUE"""),"Outbound")</f>
        <v>Outbound</v>
      </c>
      <c r="B615" s="5">
        <f>IFERROR(__xludf.DUMMYFUNCTION("""COMPUTED_VALUE"""),474.0)</f>
        <v>474</v>
      </c>
      <c r="C615" s="5" t="str">
        <f>IFERROR(__xludf.DUMMYFUNCTION("""COMPUTED_VALUE"""),"NORD STARK")</f>
        <v>NORD STARK</v>
      </c>
      <c r="D615" s="5">
        <f>IFERROR(__xludf.DUMMYFUNCTION("""COMPUTED_VALUE"""),9691591.0)</f>
        <v>9691591</v>
      </c>
      <c r="E615" s="5" t="str">
        <f>IFERROR(__xludf.DUMMYFUNCTION("""COMPUTED_VALUE"""),"Yuzhny/Pivdennyi")</f>
        <v>Yuzhny/Pivdennyi</v>
      </c>
      <c r="F615" s="5" t="str">
        <f>IFERROR(__xludf.DUMMYFUNCTION("""COMPUTED_VALUE"""),"Spain")</f>
        <v>Spain</v>
      </c>
      <c r="G615" s="5" t="str">
        <f>IFERROR(__xludf.DUMMYFUNCTION("""COMPUTED_VALUE"""),"Corn")</f>
        <v>Corn</v>
      </c>
      <c r="H615" s="6">
        <f>IFERROR(__xludf.DUMMYFUNCTION("""COMPUTED_VALUE"""),21100.0)</f>
        <v>21100</v>
      </c>
      <c r="I615" s="7">
        <f>IFERROR(__xludf.DUMMYFUNCTION("""COMPUTED_VALUE"""),44883.0)</f>
        <v>44883</v>
      </c>
      <c r="J615" s="7">
        <f>IFERROR(__xludf.DUMMYFUNCTION("""COMPUTED_VALUE"""),44897.0)</f>
        <v>44897</v>
      </c>
      <c r="K615" s="5" t="str">
        <f>IFERROR(__xludf.DUMMYFUNCTION("""COMPUTED_VALUE"""),"high-income")</f>
        <v>high-income</v>
      </c>
      <c r="L615" s="5" t="str">
        <f>IFERROR(__xludf.DUMMYFUNCTION("""COMPUTED_VALUE"""),"Barbados")</f>
        <v>Barbados</v>
      </c>
      <c r="M615" s="5" t="str">
        <f>IFERROR(__xludf.DUMMYFUNCTION("""COMPUTED_VALUE"""),"Europe &amp; Central Asia")</f>
        <v>Europe &amp; Central Asia</v>
      </c>
      <c r="N615" s="5" t="str">
        <f>IFERROR(__xludf.DUMMYFUNCTION("""COMPUTED_VALUE"""),"Western Europe and Others")</f>
        <v>Western Europe and Others</v>
      </c>
      <c r="O615" s="5" t="str">
        <f>IFERROR(__xludf.DUMMYFUNCTION("""COMPUTED_VALUE"""),"developed")</f>
        <v>developed</v>
      </c>
      <c r="P615" s="5"/>
      <c r="Q615" s="5"/>
    </row>
    <row r="616">
      <c r="A616" s="5" t="str">
        <f>IFERROR(__xludf.DUMMYFUNCTION("""COMPUTED_VALUE"""),"Outbound +")</f>
        <v>Outbound +</v>
      </c>
      <c r="B616" s="5">
        <f>IFERROR(__xludf.DUMMYFUNCTION("""COMPUTED_VALUE"""),474.0)</f>
        <v>474</v>
      </c>
      <c r="C616" s="5" t="str">
        <f>IFERROR(__xludf.DUMMYFUNCTION("""COMPUTED_VALUE"""),"NORD STARK")</f>
        <v>NORD STARK</v>
      </c>
      <c r="D616" s="5">
        <f>IFERROR(__xludf.DUMMYFUNCTION("""COMPUTED_VALUE"""),9691591.0)</f>
        <v>9691591</v>
      </c>
      <c r="E616" s="5" t="str">
        <f>IFERROR(__xludf.DUMMYFUNCTION("""COMPUTED_VALUE"""),"Yuzhny/Pivdennyi")</f>
        <v>Yuzhny/Pivdennyi</v>
      </c>
      <c r="F616" s="5" t="str">
        <f>IFERROR(__xludf.DUMMYFUNCTION("""COMPUTED_VALUE"""),"Spain")</f>
        <v>Spain</v>
      </c>
      <c r="G616" s="5" t="str">
        <f>IFERROR(__xludf.DUMMYFUNCTION("""COMPUTED_VALUE"""),"Wheat")</f>
        <v>Wheat</v>
      </c>
      <c r="H616" s="6">
        <f>IFERROR(__xludf.DUMMYFUNCTION("""COMPUTED_VALUE"""),6100.0)</f>
        <v>6100</v>
      </c>
      <c r="I616" s="7">
        <f>IFERROR(__xludf.DUMMYFUNCTION("""COMPUTED_VALUE"""),44883.0)</f>
        <v>44883</v>
      </c>
      <c r="J616" s="7">
        <f>IFERROR(__xludf.DUMMYFUNCTION("""COMPUTED_VALUE"""),44897.0)</f>
        <v>44897</v>
      </c>
      <c r="K616" s="5" t="str">
        <f>IFERROR(__xludf.DUMMYFUNCTION("""COMPUTED_VALUE"""),"high-income")</f>
        <v>high-income</v>
      </c>
      <c r="L616" s="5" t="str">
        <f>IFERROR(__xludf.DUMMYFUNCTION("""COMPUTED_VALUE"""),"Barbados")</f>
        <v>Barbados</v>
      </c>
      <c r="M616" s="5" t="str">
        <f>IFERROR(__xludf.DUMMYFUNCTION("""COMPUTED_VALUE"""),"Europe &amp; Central Asia")</f>
        <v>Europe &amp; Central Asia</v>
      </c>
      <c r="N616" s="5" t="str">
        <f>IFERROR(__xludf.DUMMYFUNCTION("""COMPUTED_VALUE"""),"Western Europe and Others")</f>
        <v>Western Europe and Others</v>
      </c>
      <c r="O616" s="5" t="str">
        <f>IFERROR(__xludf.DUMMYFUNCTION("""COMPUTED_VALUE"""),"developed")</f>
        <v>developed</v>
      </c>
      <c r="P616" s="5"/>
      <c r="Q616" s="5"/>
    </row>
    <row r="617">
      <c r="A617" s="5" t="str">
        <f>IFERROR(__xludf.DUMMYFUNCTION("""COMPUTED_VALUE"""),"Outbound")</f>
        <v>Outbound</v>
      </c>
      <c r="B617" s="5">
        <f>IFERROR(__xludf.DUMMYFUNCTION("""COMPUTED_VALUE"""),473.0)</f>
        <v>473</v>
      </c>
      <c r="C617" s="5" t="str">
        <f>IFERROR(__xludf.DUMMYFUNCTION("""COMPUTED_VALUE"""),"GHADA A")</f>
        <v>GHADA A</v>
      </c>
      <c r="D617" s="5">
        <f>IFERROR(__xludf.DUMMYFUNCTION("""COMPUTED_VALUE"""),7126102.0)</f>
        <v>7126102</v>
      </c>
      <c r="E617" s="5" t="str">
        <f>IFERROR(__xludf.DUMMYFUNCTION("""COMPUTED_VALUE"""),"Odesa")</f>
        <v>Odesa</v>
      </c>
      <c r="F617" s="5" t="str">
        <f>IFERROR(__xludf.DUMMYFUNCTION("""COMPUTED_VALUE"""),"Jordan")</f>
        <v>Jordan</v>
      </c>
      <c r="G617" s="5" t="str">
        <f>IFERROR(__xludf.DUMMYFUNCTION("""COMPUTED_VALUE"""),"Barley")</f>
        <v>Barley</v>
      </c>
      <c r="H617" s="6">
        <f>IFERROR(__xludf.DUMMYFUNCTION("""COMPUTED_VALUE"""),5230.0)</f>
        <v>5230</v>
      </c>
      <c r="I617" s="7">
        <f>IFERROR(__xludf.DUMMYFUNCTION("""COMPUTED_VALUE"""),44883.0)</f>
        <v>44883</v>
      </c>
      <c r="J617" s="7">
        <f>IFERROR(__xludf.DUMMYFUNCTION("""COMPUTED_VALUE"""),44892.0)</f>
        <v>44892</v>
      </c>
      <c r="K617" s="5" t="str">
        <f>IFERROR(__xludf.DUMMYFUNCTION("""COMPUTED_VALUE"""),"upper-middle-income")</f>
        <v>upper-middle-income</v>
      </c>
      <c r="L617" s="5" t="str">
        <f>IFERROR(__xludf.DUMMYFUNCTION("""COMPUTED_VALUE"""),"Togo")</f>
        <v>Togo</v>
      </c>
      <c r="M617" s="5" t="str">
        <f>IFERROR(__xludf.DUMMYFUNCTION("""COMPUTED_VALUE"""),"Middle East &amp; North Africa")</f>
        <v>Middle East &amp; North Africa</v>
      </c>
      <c r="N617" s="5" t="str">
        <f>IFERROR(__xludf.DUMMYFUNCTION("""COMPUTED_VALUE"""),"Asia-Pacific")</f>
        <v>Asia-Pacific</v>
      </c>
      <c r="O617" s="5" t="str">
        <f>IFERROR(__xludf.DUMMYFUNCTION("""COMPUTED_VALUE"""),"developing")</f>
        <v>developing</v>
      </c>
      <c r="P617" s="5"/>
      <c r="Q617" s="5"/>
    </row>
    <row r="618">
      <c r="A618" s="5" t="str">
        <f>IFERROR(__xludf.DUMMYFUNCTION("""COMPUTED_VALUE"""),"Outbound")</f>
        <v>Outbound</v>
      </c>
      <c r="B618" s="5">
        <f>IFERROR(__xludf.DUMMYFUNCTION("""COMPUTED_VALUE"""),472.0)</f>
        <v>472</v>
      </c>
      <c r="C618" s="5" t="str">
        <f>IFERROR(__xludf.DUMMYFUNCTION("""COMPUTED_VALUE"""),"GANOSAYA")</f>
        <v>GANOSAYA</v>
      </c>
      <c r="D618" s="5">
        <f>IFERROR(__xludf.DUMMYFUNCTION("""COMPUTED_VALUE"""),9151400.0)</f>
        <v>9151400</v>
      </c>
      <c r="E618" s="5" t="str">
        <f>IFERROR(__xludf.DUMMYFUNCTION("""COMPUTED_VALUE"""),"Odesa")</f>
        <v>Odesa</v>
      </c>
      <c r="F618" s="5" t="str">
        <f>IFERROR(__xludf.DUMMYFUNCTION("""COMPUTED_VALUE"""),"Libya")</f>
        <v>Libya</v>
      </c>
      <c r="G618" s="5" t="str">
        <f>IFERROR(__xludf.DUMMYFUNCTION("""COMPUTED_VALUE"""),"Corn")</f>
        <v>Corn</v>
      </c>
      <c r="H618" s="6">
        <f>IFERROR(__xludf.DUMMYFUNCTION("""COMPUTED_VALUE"""),12200.0)</f>
        <v>12200</v>
      </c>
      <c r="I618" s="7">
        <f>IFERROR(__xludf.DUMMYFUNCTION("""COMPUTED_VALUE"""),44883.0)</f>
        <v>44883</v>
      </c>
      <c r="J618" s="7">
        <f>IFERROR(__xludf.DUMMYFUNCTION("""COMPUTED_VALUE"""),44894.0)</f>
        <v>44894</v>
      </c>
      <c r="K618" s="5" t="str">
        <f>IFERROR(__xludf.DUMMYFUNCTION("""COMPUTED_VALUE"""),"upper-middle-income")</f>
        <v>upper-middle-income</v>
      </c>
      <c r="L618" s="5" t="str">
        <f>IFERROR(__xludf.DUMMYFUNCTION("""COMPUTED_VALUE"""),"Cook Islands")</f>
        <v>Cook Islands</v>
      </c>
      <c r="M618" s="5" t="str">
        <f>IFERROR(__xludf.DUMMYFUNCTION("""COMPUTED_VALUE"""),"Middle East &amp; North Africa")</f>
        <v>Middle East &amp; North Africa</v>
      </c>
      <c r="N618" s="5" t="str">
        <f>IFERROR(__xludf.DUMMYFUNCTION("""COMPUTED_VALUE"""),"Africa")</f>
        <v>Africa</v>
      </c>
      <c r="O618" s="5" t="str">
        <f>IFERROR(__xludf.DUMMYFUNCTION("""COMPUTED_VALUE"""),"developing")</f>
        <v>developing</v>
      </c>
      <c r="P618" s="5"/>
      <c r="Q618" s="5"/>
    </row>
    <row r="619">
      <c r="A619" s="5" t="str">
        <f>IFERROR(__xludf.DUMMYFUNCTION("""COMPUTED_VALUE"""),"Outbound +")</f>
        <v>Outbound +</v>
      </c>
      <c r="B619" s="5">
        <f>IFERROR(__xludf.DUMMYFUNCTION("""COMPUTED_VALUE"""),472.0)</f>
        <v>472</v>
      </c>
      <c r="C619" s="5" t="str">
        <f>IFERROR(__xludf.DUMMYFUNCTION("""COMPUTED_VALUE"""),"GANOSAYA")</f>
        <v>GANOSAYA</v>
      </c>
      <c r="D619" s="5">
        <f>IFERROR(__xludf.DUMMYFUNCTION("""COMPUTED_VALUE"""),9151400.0)</f>
        <v>9151400</v>
      </c>
      <c r="E619" s="5" t="str">
        <f>IFERROR(__xludf.DUMMYFUNCTION("""COMPUTED_VALUE"""),"Odesa")</f>
        <v>Odesa</v>
      </c>
      <c r="F619" s="5" t="str">
        <f>IFERROR(__xludf.DUMMYFUNCTION("""COMPUTED_VALUE"""),"Libya")</f>
        <v>Libya</v>
      </c>
      <c r="G619" s="5" t="str">
        <f>IFERROR(__xludf.DUMMYFUNCTION("""COMPUTED_VALUE"""),"Barley")</f>
        <v>Barley</v>
      </c>
      <c r="H619" s="6">
        <f>IFERROR(__xludf.DUMMYFUNCTION("""COMPUTED_VALUE"""),4400.0)</f>
        <v>4400</v>
      </c>
      <c r="I619" s="7">
        <f>IFERROR(__xludf.DUMMYFUNCTION("""COMPUTED_VALUE"""),44883.0)</f>
        <v>44883</v>
      </c>
      <c r="J619" s="7">
        <f>IFERROR(__xludf.DUMMYFUNCTION("""COMPUTED_VALUE"""),44894.0)</f>
        <v>44894</v>
      </c>
      <c r="K619" s="5" t="str">
        <f>IFERROR(__xludf.DUMMYFUNCTION("""COMPUTED_VALUE"""),"upper-middle-income")</f>
        <v>upper-middle-income</v>
      </c>
      <c r="L619" s="5" t="str">
        <f>IFERROR(__xludf.DUMMYFUNCTION("""COMPUTED_VALUE"""),"Cook Islands")</f>
        <v>Cook Islands</v>
      </c>
      <c r="M619" s="5" t="str">
        <f>IFERROR(__xludf.DUMMYFUNCTION("""COMPUTED_VALUE"""),"Middle East &amp; North Africa")</f>
        <v>Middle East &amp; North Africa</v>
      </c>
      <c r="N619" s="5" t="str">
        <f>IFERROR(__xludf.DUMMYFUNCTION("""COMPUTED_VALUE"""),"Africa")</f>
        <v>Africa</v>
      </c>
      <c r="O619" s="5" t="str">
        <f>IFERROR(__xludf.DUMMYFUNCTION("""COMPUTED_VALUE"""),"developing")</f>
        <v>developing</v>
      </c>
      <c r="P619" s="5"/>
      <c r="Q619" s="5"/>
    </row>
    <row r="620">
      <c r="A620" s="5" t="str">
        <f>IFERROR(__xludf.DUMMYFUNCTION("""COMPUTED_VALUE"""),"Outbound")</f>
        <v>Outbound</v>
      </c>
      <c r="B620" s="5">
        <f>IFERROR(__xludf.DUMMYFUNCTION("""COMPUTED_VALUE"""),471.0)</f>
        <v>471</v>
      </c>
      <c r="C620" s="5" t="str">
        <f>IFERROR(__xludf.DUMMYFUNCTION("""COMPUTED_VALUE"""),"SUPER SAKA")</f>
        <v>SUPER SAKA</v>
      </c>
      <c r="D620" s="5">
        <f>IFERROR(__xludf.DUMMYFUNCTION("""COMPUTED_VALUE"""),9456551.0)</f>
        <v>9456551</v>
      </c>
      <c r="E620" s="5" t="str">
        <f>IFERROR(__xludf.DUMMYFUNCTION("""COMPUTED_VALUE"""),"Odesa")</f>
        <v>Odesa</v>
      </c>
      <c r="F620" s="5" t="str">
        <f>IFERROR(__xludf.DUMMYFUNCTION("""COMPUTED_VALUE"""),"Saudi Arabia")</f>
        <v>Saudi Arabia</v>
      </c>
      <c r="G620" s="5" t="str">
        <f>IFERROR(__xludf.DUMMYFUNCTION("""COMPUTED_VALUE"""),"Wheat")</f>
        <v>Wheat</v>
      </c>
      <c r="H620" s="6">
        <f>IFERROR(__xludf.DUMMYFUNCTION("""COMPUTED_VALUE"""),54000.0)</f>
        <v>54000</v>
      </c>
      <c r="I620" s="7">
        <f>IFERROR(__xludf.DUMMYFUNCTION("""COMPUTED_VALUE"""),44882.0)</f>
        <v>44882</v>
      </c>
      <c r="J620" s="7">
        <f>IFERROR(__xludf.DUMMYFUNCTION("""COMPUTED_VALUE"""),44890.0)</f>
        <v>44890</v>
      </c>
      <c r="K620" s="5" t="str">
        <f>IFERROR(__xludf.DUMMYFUNCTION("""COMPUTED_VALUE"""),"high-income")</f>
        <v>high-income</v>
      </c>
      <c r="L620" s="5" t="str">
        <f>IFERROR(__xludf.DUMMYFUNCTION("""COMPUTED_VALUE"""),"Barbados")</f>
        <v>Barbados</v>
      </c>
      <c r="M620" s="5" t="str">
        <f>IFERROR(__xludf.DUMMYFUNCTION("""COMPUTED_VALUE"""),"Middle East &amp; North Africa")</f>
        <v>Middle East &amp; North Africa</v>
      </c>
      <c r="N620" s="5" t="str">
        <f>IFERROR(__xludf.DUMMYFUNCTION("""COMPUTED_VALUE"""),"Asia-Pacific")</f>
        <v>Asia-Pacific</v>
      </c>
      <c r="O620" s="5" t="str">
        <f>IFERROR(__xludf.DUMMYFUNCTION("""COMPUTED_VALUE"""),"developing")</f>
        <v>developing</v>
      </c>
      <c r="P620" s="5"/>
      <c r="Q620" s="5"/>
    </row>
    <row r="621">
      <c r="A621" s="5" t="str">
        <f>IFERROR(__xludf.DUMMYFUNCTION("""COMPUTED_VALUE"""),"Outbound")</f>
        <v>Outbound</v>
      </c>
      <c r="B621" s="5">
        <f>IFERROR(__xludf.DUMMYFUNCTION("""COMPUTED_VALUE"""),470.0)</f>
        <v>470</v>
      </c>
      <c r="C621" s="5" t="str">
        <f>IFERROR(__xludf.DUMMYFUNCTION("""COMPUTED_VALUE"""),"NIZAR")</f>
        <v>NIZAR</v>
      </c>
      <c r="D621" s="5">
        <f>IFERROR(__xludf.DUMMYFUNCTION("""COMPUTED_VALUE"""),8324751.0)</f>
        <v>8324751</v>
      </c>
      <c r="E621" s="5" t="str">
        <f>IFERROR(__xludf.DUMMYFUNCTION("""COMPUTED_VALUE"""),"Chornomorsk")</f>
        <v>Chornomorsk</v>
      </c>
      <c r="F621" s="5" t="str">
        <f>IFERROR(__xludf.DUMMYFUNCTION("""COMPUTED_VALUE"""),"Türkiye")</f>
        <v>Türkiye</v>
      </c>
      <c r="G621" s="5" t="str">
        <f>IFERROR(__xludf.DUMMYFUNCTION("""COMPUTED_VALUE"""),"Soya beans")</f>
        <v>Soya beans</v>
      </c>
      <c r="H621" s="6">
        <f>IFERROR(__xludf.DUMMYFUNCTION("""COMPUTED_VALUE"""),4840.0)</f>
        <v>4840</v>
      </c>
      <c r="I621" s="7">
        <f>IFERROR(__xludf.DUMMYFUNCTION("""COMPUTED_VALUE"""),44882.0)</f>
        <v>44882</v>
      </c>
      <c r="J621" s="7">
        <f>IFERROR(__xludf.DUMMYFUNCTION("""COMPUTED_VALUE"""),44895.0)</f>
        <v>44895</v>
      </c>
      <c r="K621" s="5" t="str">
        <f>IFERROR(__xludf.DUMMYFUNCTION("""COMPUTED_VALUE"""),"upper-middle-income")</f>
        <v>upper-middle-income</v>
      </c>
      <c r="L621" s="5" t="str">
        <f>IFERROR(__xludf.DUMMYFUNCTION("""COMPUTED_VALUE"""),"Sierra Leone")</f>
        <v>Sierra Leone</v>
      </c>
      <c r="M621" s="5" t="str">
        <f>IFERROR(__xludf.DUMMYFUNCTION("""COMPUTED_VALUE"""),"Europe &amp; Central Asia")</f>
        <v>Europe &amp; Central Asia</v>
      </c>
      <c r="N621" s="5" t="str">
        <f>IFERROR(__xludf.DUMMYFUNCTION("""COMPUTED_VALUE"""),"Asia-Pacific")</f>
        <v>Asia-Pacific</v>
      </c>
      <c r="O621" s="5" t="str">
        <f>IFERROR(__xludf.DUMMYFUNCTION("""COMPUTED_VALUE"""),"developing")</f>
        <v>developing</v>
      </c>
      <c r="P621" s="5"/>
      <c r="Q621" s="5"/>
    </row>
    <row r="622">
      <c r="A622" s="5" t="str">
        <f>IFERROR(__xludf.DUMMYFUNCTION("""COMPUTED_VALUE"""),"Outbound")</f>
        <v>Outbound</v>
      </c>
      <c r="B622" s="5">
        <f>IFERROR(__xludf.DUMMYFUNCTION("""COMPUTED_VALUE"""),469.0)</f>
        <v>469</v>
      </c>
      <c r="C622" s="5" t="str">
        <f>IFERROR(__xludf.DUMMYFUNCTION("""COMPUTED_VALUE"""),"GOKOVA-M (WFP)")</f>
        <v>GOKOVA-M (WFP)</v>
      </c>
      <c r="D622" s="5">
        <f>IFERROR(__xludf.DUMMYFUNCTION("""COMPUTED_VALUE"""),9243526.0)</f>
        <v>9243526</v>
      </c>
      <c r="E622" s="5" t="str">
        <f>IFERROR(__xludf.DUMMYFUNCTION("""COMPUTED_VALUE"""),"Chornomorsk")</f>
        <v>Chornomorsk</v>
      </c>
      <c r="F622" s="5" t="str">
        <f>IFERROR(__xludf.DUMMYFUNCTION("""COMPUTED_VALUE"""),"Yemen")</f>
        <v>Yemen</v>
      </c>
      <c r="G622" s="5" t="str">
        <f>IFERROR(__xludf.DUMMYFUNCTION("""COMPUTED_VALUE"""),"Wheat")</f>
        <v>Wheat</v>
      </c>
      <c r="H622" s="6">
        <f>IFERROR(__xludf.DUMMYFUNCTION("""COMPUTED_VALUE"""),10000.0)</f>
        <v>10000</v>
      </c>
      <c r="I622" s="7">
        <f>IFERROR(__xludf.DUMMYFUNCTION("""COMPUTED_VALUE"""),44882.0)</f>
        <v>44882</v>
      </c>
      <c r="J622" s="7">
        <f>IFERROR(__xludf.DUMMYFUNCTION("""COMPUTED_VALUE"""),44887.0)</f>
        <v>44887</v>
      </c>
      <c r="K622" s="5" t="str">
        <f>IFERROR(__xludf.DUMMYFUNCTION("""COMPUTED_VALUE"""),"low-income")</f>
        <v>low-income</v>
      </c>
      <c r="L622" s="5" t="str">
        <f>IFERROR(__xludf.DUMMYFUNCTION("""COMPUTED_VALUE"""),"Panama")</f>
        <v>Panama</v>
      </c>
      <c r="M622" s="5" t="str">
        <f>IFERROR(__xludf.DUMMYFUNCTION("""COMPUTED_VALUE"""),"Middle East &amp; North Africa")</f>
        <v>Middle East &amp; North Africa</v>
      </c>
      <c r="N622" s="5" t="str">
        <f>IFERROR(__xludf.DUMMYFUNCTION("""COMPUTED_VALUE"""),"Asia-Pacific")</f>
        <v>Asia-Pacific</v>
      </c>
      <c r="O622" s="5" t="str">
        <f>IFERROR(__xludf.DUMMYFUNCTION("""COMPUTED_VALUE"""),"developing")</f>
        <v>developing</v>
      </c>
      <c r="P622" s="5" t="str">
        <f>IFERROR(__xludf.DUMMYFUNCTION("""COMPUTED_VALUE"""),"WFP")</f>
        <v>WFP</v>
      </c>
      <c r="Q622" s="5"/>
    </row>
    <row r="623">
      <c r="A623" s="5" t="str">
        <f>IFERROR(__xludf.DUMMYFUNCTION("""COMPUTED_VALUE"""),"Outbound +")</f>
        <v>Outbound +</v>
      </c>
      <c r="B623" s="5">
        <f>IFERROR(__xludf.DUMMYFUNCTION("""COMPUTED_VALUE"""),469.0)</f>
        <v>469</v>
      </c>
      <c r="C623" s="5" t="str">
        <f>IFERROR(__xludf.DUMMYFUNCTION("""COMPUTED_VALUE"""),"GOKOVA-M (WFP)")</f>
        <v>GOKOVA-M (WFP)</v>
      </c>
      <c r="D623" s="5">
        <f>IFERROR(__xludf.DUMMYFUNCTION("""COMPUTED_VALUE"""),9243526.0)</f>
        <v>9243526</v>
      </c>
      <c r="E623" s="5" t="str">
        <f>IFERROR(__xludf.DUMMYFUNCTION("""COMPUTED_VALUE"""),"Chornomorsk")</f>
        <v>Chornomorsk</v>
      </c>
      <c r="F623" s="5" t="str">
        <f>IFERROR(__xludf.DUMMYFUNCTION("""COMPUTED_VALUE"""),"Afghanistan")</f>
        <v>Afghanistan</v>
      </c>
      <c r="G623" s="5" t="str">
        <f>IFERROR(__xludf.DUMMYFUNCTION("""COMPUTED_VALUE"""),"Wheat")</f>
        <v>Wheat</v>
      </c>
      <c r="H623" s="6">
        <f>IFERROR(__xludf.DUMMYFUNCTION("""COMPUTED_VALUE"""),30000.0)</f>
        <v>30000</v>
      </c>
      <c r="I623" s="7">
        <f>IFERROR(__xludf.DUMMYFUNCTION("""COMPUTED_VALUE"""),44882.0)</f>
        <v>44882</v>
      </c>
      <c r="J623" s="7">
        <f>IFERROR(__xludf.DUMMYFUNCTION("""COMPUTED_VALUE"""),44887.0)</f>
        <v>44887</v>
      </c>
      <c r="K623" s="5" t="str">
        <f>IFERROR(__xludf.DUMMYFUNCTION("""COMPUTED_VALUE"""),"low-income")</f>
        <v>low-income</v>
      </c>
      <c r="L623" s="5" t="str">
        <f>IFERROR(__xludf.DUMMYFUNCTION("""COMPUTED_VALUE"""),"Panama")</f>
        <v>Panama</v>
      </c>
      <c r="M623" s="5" t="str">
        <f>IFERROR(__xludf.DUMMYFUNCTION("""COMPUTED_VALUE"""),"South Asia")</f>
        <v>South Asia</v>
      </c>
      <c r="N623" s="5" t="str">
        <f>IFERROR(__xludf.DUMMYFUNCTION("""COMPUTED_VALUE"""),"Asia-Pacific")</f>
        <v>Asia-Pacific</v>
      </c>
      <c r="O623" s="5" t="str">
        <f>IFERROR(__xludf.DUMMYFUNCTION("""COMPUTED_VALUE"""),"developing")</f>
        <v>developing</v>
      </c>
      <c r="P623" s="5" t="str">
        <f>IFERROR(__xludf.DUMMYFUNCTION("""COMPUTED_VALUE"""),"WFP")</f>
        <v>WFP</v>
      </c>
      <c r="Q623" s="5"/>
    </row>
    <row r="624">
      <c r="A624" s="5" t="str">
        <f>IFERROR(__xludf.DUMMYFUNCTION("""COMPUTED_VALUE"""),"Outbound")</f>
        <v>Outbound</v>
      </c>
      <c r="B624" s="5">
        <f>IFERROR(__xludf.DUMMYFUNCTION("""COMPUTED_VALUE"""),468.0)</f>
        <v>468</v>
      </c>
      <c r="C624" s="5" t="str">
        <f>IFERROR(__xludf.DUMMYFUNCTION("""COMPUTED_VALUE"""),"PLUTUS")</f>
        <v>PLUTUS</v>
      </c>
      <c r="D624" s="5">
        <f>IFERROR(__xludf.DUMMYFUNCTION("""COMPUTED_VALUE"""),9132519.0)</f>
        <v>9132519</v>
      </c>
      <c r="E624" s="5" t="str">
        <f>IFERROR(__xludf.DUMMYFUNCTION("""COMPUTED_VALUE"""),"Yuzhny/Pivdennyi")</f>
        <v>Yuzhny/Pivdennyi</v>
      </c>
      <c r="F624" s="5" t="str">
        <f>IFERROR(__xludf.DUMMYFUNCTION("""COMPUTED_VALUE"""),"Türkiye")</f>
        <v>Türkiye</v>
      </c>
      <c r="G624" s="5" t="str">
        <f>IFERROR(__xludf.DUMMYFUNCTION("""COMPUTED_VALUE"""),"Corn")</f>
        <v>Corn</v>
      </c>
      <c r="H624" s="6">
        <f>IFERROR(__xludf.DUMMYFUNCTION("""COMPUTED_VALUE"""),13000.0)</f>
        <v>13000</v>
      </c>
      <c r="I624" s="7">
        <f>IFERROR(__xludf.DUMMYFUNCTION("""COMPUTED_VALUE"""),44881.0)</f>
        <v>44881</v>
      </c>
      <c r="J624" s="7">
        <f>IFERROR(__xludf.DUMMYFUNCTION("""COMPUTED_VALUE"""),44898.0)</f>
        <v>44898</v>
      </c>
      <c r="K624" s="5" t="str">
        <f>IFERROR(__xludf.DUMMYFUNCTION("""COMPUTED_VALUE"""),"upper-middle-income")</f>
        <v>upper-middle-income</v>
      </c>
      <c r="L624" s="5" t="str">
        <f>IFERROR(__xludf.DUMMYFUNCTION("""COMPUTED_VALUE"""),"Palau")</f>
        <v>Palau</v>
      </c>
      <c r="M624" s="5" t="str">
        <f>IFERROR(__xludf.DUMMYFUNCTION("""COMPUTED_VALUE"""),"Europe &amp; Central Asia")</f>
        <v>Europe &amp; Central Asia</v>
      </c>
      <c r="N624" s="5" t="str">
        <f>IFERROR(__xludf.DUMMYFUNCTION("""COMPUTED_VALUE"""),"Asia-Pacific")</f>
        <v>Asia-Pacific</v>
      </c>
      <c r="O624" s="5" t="str">
        <f>IFERROR(__xludf.DUMMYFUNCTION("""COMPUTED_VALUE"""),"developing")</f>
        <v>developing</v>
      </c>
      <c r="P624" s="5"/>
      <c r="Q624" s="5"/>
    </row>
    <row r="625">
      <c r="A625" s="5" t="str">
        <f>IFERROR(__xludf.DUMMYFUNCTION("""COMPUTED_VALUE"""),"Outbound")</f>
        <v>Outbound</v>
      </c>
      <c r="B625" s="5">
        <f>IFERROR(__xludf.DUMMYFUNCTION("""COMPUTED_VALUE"""),467.0)</f>
        <v>467</v>
      </c>
      <c r="C625" s="5" t="str">
        <f>IFERROR(__xludf.DUMMYFUNCTION("""COMPUTED_VALUE"""),"PARALOS")</f>
        <v>PARALOS</v>
      </c>
      <c r="D625" s="5">
        <f>IFERROR(__xludf.DUMMYFUNCTION("""COMPUTED_VALUE"""),9325099.0)</f>
        <v>9325099</v>
      </c>
      <c r="E625" s="5" t="str">
        <f>IFERROR(__xludf.DUMMYFUNCTION("""COMPUTED_VALUE"""),"Odesa")</f>
        <v>Odesa</v>
      </c>
      <c r="F625" s="5" t="str">
        <f>IFERROR(__xludf.DUMMYFUNCTION("""COMPUTED_VALUE"""),"Spain")</f>
        <v>Spain</v>
      </c>
      <c r="G625" s="5" t="str">
        <f>IFERROR(__xludf.DUMMYFUNCTION("""COMPUTED_VALUE"""),"Wheat")</f>
        <v>Wheat</v>
      </c>
      <c r="H625" s="6">
        <f>IFERROR(__xludf.DUMMYFUNCTION("""COMPUTED_VALUE"""),28000.0)</f>
        <v>28000</v>
      </c>
      <c r="I625" s="7">
        <f>IFERROR(__xludf.DUMMYFUNCTION("""COMPUTED_VALUE"""),44881.0)</f>
        <v>44881</v>
      </c>
      <c r="J625" s="7">
        <f>IFERROR(__xludf.DUMMYFUNCTION("""COMPUTED_VALUE"""),44889.0)</f>
        <v>44889</v>
      </c>
      <c r="K625" s="5" t="str">
        <f>IFERROR(__xludf.DUMMYFUNCTION("""COMPUTED_VALUE"""),"high-income")</f>
        <v>high-income</v>
      </c>
      <c r="L625" s="5" t="str">
        <f>IFERROR(__xludf.DUMMYFUNCTION("""COMPUTED_VALUE"""),"Liberia")</f>
        <v>Liberia</v>
      </c>
      <c r="M625" s="5" t="str">
        <f>IFERROR(__xludf.DUMMYFUNCTION("""COMPUTED_VALUE"""),"Europe &amp; Central Asia")</f>
        <v>Europe &amp; Central Asia</v>
      </c>
      <c r="N625" s="5" t="str">
        <f>IFERROR(__xludf.DUMMYFUNCTION("""COMPUTED_VALUE"""),"Western Europe and Others")</f>
        <v>Western Europe and Others</v>
      </c>
      <c r="O625" s="5" t="str">
        <f>IFERROR(__xludf.DUMMYFUNCTION("""COMPUTED_VALUE"""),"developed")</f>
        <v>developed</v>
      </c>
      <c r="P625" s="5"/>
      <c r="Q625" s="5"/>
    </row>
    <row r="626">
      <c r="A626" s="5" t="str">
        <f>IFERROR(__xludf.DUMMYFUNCTION("""COMPUTED_VALUE"""),"Outbound")</f>
        <v>Outbound</v>
      </c>
      <c r="B626" s="5">
        <f>IFERROR(__xludf.DUMMYFUNCTION("""COMPUTED_VALUE"""),466.0)</f>
        <v>466</v>
      </c>
      <c r="C626" s="5" t="str">
        <f>IFERROR(__xludf.DUMMYFUNCTION("""COMPUTED_VALUE"""),"NORD VIND (WFP)")</f>
        <v>NORD VIND (WFP)</v>
      </c>
      <c r="D626" s="5">
        <f>IFERROR(__xludf.DUMMYFUNCTION("""COMPUTED_VALUE"""),9573921.0)</f>
        <v>9573921</v>
      </c>
      <c r="E626" s="5" t="str">
        <f>IFERROR(__xludf.DUMMYFUNCTION("""COMPUTED_VALUE"""),"Odesa")</f>
        <v>Odesa</v>
      </c>
      <c r="F626" s="5" t="str">
        <f>IFERROR(__xludf.DUMMYFUNCTION("""COMPUTED_VALUE"""),"Ethiopia")</f>
        <v>Ethiopia</v>
      </c>
      <c r="G626" s="5" t="str">
        <f>IFERROR(__xludf.DUMMYFUNCTION("""COMPUTED_VALUE"""),"Wheat")</f>
        <v>Wheat</v>
      </c>
      <c r="H626" s="6">
        <f>IFERROR(__xludf.DUMMYFUNCTION("""COMPUTED_VALUE"""),25000.0)</f>
        <v>25000</v>
      </c>
      <c r="I626" s="7">
        <f>IFERROR(__xludf.DUMMYFUNCTION("""COMPUTED_VALUE"""),44881.0)</f>
        <v>44881</v>
      </c>
      <c r="J626" s="7">
        <f>IFERROR(__xludf.DUMMYFUNCTION("""COMPUTED_VALUE"""),44887.0)</f>
        <v>44887</v>
      </c>
      <c r="K626" s="5" t="str">
        <f>IFERROR(__xludf.DUMMYFUNCTION("""COMPUTED_VALUE"""),"low-income")</f>
        <v>low-income</v>
      </c>
      <c r="L626" s="5" t="str">
        <f>IFERROR(__xludf.DUMMYFUNCTION("""COMPUTED_VALUE"""),"Barbados")</f>
        <v>Barbados</v>
      </c>
      <c r="M626" s="5" t="str">
        <f>IFERROR(__xludf.DUMMYFUNCTION("""COMPUTED_VALUE"""),"Sub-Saharan Africa")</f>
        <v>Sub-Saharan Africa</v>
      </c>
      <c r="N626" s="5" t="str">
        <f>IFERROR(__xludf.DUMMYFUNCTION("""COMPUTED_VALUE"""),"Africa")</f>
        <v>Africa</v>
      </c>
      <c r="O626" s="5" t="str">
        <f>IFERROR(__xludf.DUMMYFUNCTION("""COMPUTED_VALUE"""),"developing")</f>
        <v>developing</v>
      </c>
      <c r="P626" s="5" t="str">
        <f>IFERROR(__xludf.DUMMYFUNCTION("""COMPUTED_VALUE"""),"WFP")</f>
        <v>WFP</v>
      </c>
      <c r="Q626" s="5"/>
    </row>
    <row r="627">
      <c r="A627" s="5" t="str">
        <f>IFERROR(__xludf.DUMMYFUNCTION("""COMPUTED_VALUE"""),"Outbound")</f>
        <v>Outbound</v>
      </c>
      <c r="B627" s="5">
        <f>IFERROR(__xludf.DUMMYFUNCTION("""COMPUTED_VALUE"""),465.0)</f>
        <v>465</v>
      </c>
      <c r="C627" s="5" t="str">
        <f>IFERROR(__xludf.DUMMYFUNCTION("""COMPUTED_VALUE"""),"NORAN")</f>
        <v>NORAN</v>
      </c>
      <c r="D627" s="5">
        <f>IFERROR(__xludf.DUMMYFUNCTION("""COMPUTED_VALUE"""),9175822.0)</f>
        <v>9175822</v>
      </c>
      <c r="E627" s="5" t="str">
        <f>IFERROR(__xludf.DUMMYFUNCTION("""COMPUTED_VALUE"""),"Chornomorsk")</f>
        <v>Chornomorsk</v>
      </c>
      <c r="F627" s="5" t="str">
        <f>IFERROR(__xludf.DUMMYFUNCTION("""COMPUTED_VALUE"""),"Türkiye")</f>
        <v>Türkiye</v>
      </c>
      <c r="G627" s="5" t="str">
        <f>IFERROR(__xludf.DUMMYFUNCTION("""COMPUTED_VALUE"""),"Soya beans")</f>
        <v>Soya beans</v>
      </c>
      <c r="H627" s="6">
        <f>IFERROR(__xludf.DUMMYFUNCTION("""COMPUTED_VALUE"""),7124.0)</f>
        <v>7124</v>
      </c>
      <c r="I627" s="7">
        <f>IFERROR(__xludf.DUMMYFUNCTION("""COMPUTED_VALUE"""),44881.0)</f>
        <v>44881</v>
      </c>
      <c r="J627" s="7">
        <f>IFERROR(__xludf.DUMMYFUNCTION("""COMPUTED_VALUE"""),44891.0)</f>
        <v>44891</v>
      </c>
      <c r="K627" s="5" t="str">
        <f>IFERROR(__xludf.DUMMYFUNCTION("""COMPUTED_VALUE"""),"upper-middle-income")</f>
        <v>upper-middle-income</v>
      </c>
      <c r="L627" s="5" t="str">
        <f>IFERROR(__xludf.DUMMYFUNCTION("""COMPUTED_VALUE"""),"Palau")</f>
        <v>Palau</v>
      </c>
      <c r="M627" s="5" t="str">
        <f>IFERROR(__xludf.DUMMYFUNCTION("""COMPUTED_VALUE"""),"Europe &amp; Central Asia")</f>
        <v>Europe &amp; Central Asia</v>
      </c>
      <c r="N627" s="5" t="str">
        <f>IFERROR(__xludf.DUMMYFUNCTION("""COMPUTED_VALUE"""),"Asia-Pacific")</f>
        <v>Asia-Pacific</v>
      </c>
      <c r="O627" s="5" t="str">
        <f>IFERROR(__xludf.DUMMYFUNCTION("""COMPUTED_VALUE"""),"developing")</f>
        <v>developing</v>
      </c>
      <c r="P627" s="5"/>
      <c r="Q627" s="5"/>
    </row>
    <row r="628">
      <c r="A628" s="5" t="str">
        <f>IFERROR(__xludf.DUMMYFUNCTION("""COMPUTED_VALUE"""),"Outbound")</f>
        <v>Outbound</v>
      </c>
      <c r="B628" s="5">
        <f>IFERROR(__xludf.DUMMYFUNCTION("""COMPUTED_VALUE"""),464.0)</f>
        <v>464</v>
      </c>
      <c r="C628" s="5" t="str">
        <f>IFERROR(__xludf.DUMMYFUNCTION("""COMPUTED_VALUE"""),"MIM VANGELIS JR")</f>
        <v>MIM VANGELIS JR</v>
      </c>
      <c r="D628" s="5">
        <f>IFERROR(__xludf.DUMMYFUNCTION("""COMPUTED_VALUE"""),9302786.0)</f>
        <v>9302786</v>
      </c>
      <c r="E628" s="5" t="str">
        <f>IFERROR(__xludf.DUMMYFUNCTION("""COMPUTED_VALUE"""),"Yuzhny/Pivdennyi")</f>
        <v>Yuzhny/Pivdennyi</v>
      </c>
      <c r="F628" s="5" t="str">
        <f>IFERROR(__xludf.DUMMYFUNCTION("""COMPUTED_VALUE"""),"China")</f>
        <v>China</v>
      </c>
      <c r="G628" s="5" t="str">
        <f>IFERROR(__xludf.DUMMYFUNCTION("""COMPUTED_VALUE"""),"Corn")</f>
        <v>Corn</v>
      </c>
      <c r="H628" s="6">
        <f>IFERROR(__xludf.DUMMYFUNCTION("""COMPUTED_VALUE"""),66756.0)</f>
        <v>66756</v>
      </c>
      <c r="I628" s="7">
        <f>IFERROR(__xludf.DUMMYFUNCTION("""COMPUTED_VALUE"""),44881.0)</f>
        <v>44881</v>
      </c>
      <c r="J628" s="7">
        <f>IFERROR(__xludf.DUMMYFUNCTION("""COMPUTED_VALUE"""),44885.0)</f>
        <v>44885</v>
      </c>
      <c r="K628" s="5" t="str">
        <f>IFERROR(__xludf.DUMMYFUNCTION("""COMPUTED_VALUE"""),"upper-middle-income")</f>
        <v>upper-middle-income</v>
      </c>
      <c r="L628" s="5" t="str">
        <f>IFERROR(__xludf.DUMMYFUNCTION("""COMPUTED_VALUE"""),"Liberia")</f>
        <v>Liberia</v>
      </c>
      <c r="M628" s="5" t="str">
        <f>IFERROR(__xludf.DUMMYFUNCTION("""COMPUTED_VALUE"""),"East Asia &amp; Pacific")</f>
        <v>East Asia &amp; Pacific</v>
      </c>
      <c r="N628" s="5" t="str">
        <f>IFERROR(__xludf.DUMMYFUNCTION("""COMPUTED_VALUE"""),"Asia-Pacific")</f>
        <v>Asia-Pacific</v>
      </c>
      <c r="O628" s="5" t="str">
        <f>IFERROR(__xludf.DUMMYFUNCTION("""COMPUTED_VALUE"""),"developing")</f>
        <v>developing</v>
      </c>
      <c r="P628" s="5"/>
      <c r="Q628" s="5"/>
    </row>
    <row r="629">
      <c r="A629" s="5" t="str">
        <f>IFERROR(__xludf.DUMMYFUNCTION("""COMPUTED_VALUE"""),"Outbound")</f>
        <v>Outbound</v>
      </c>
      <c r="B629" s="5">
        <f>IFERROR(__xludf.DUMMYFUNCTION("""COMPUTED_VALUE"""),463.0)</f>
        <v>463</v>
      </c>
      <c r="C629" s="5" t="str">
        <f>IFERROR(__xludf.DUMMYFUNCTION("""COMPUTED_VALUE"""),"ELENI M")</f>
        <v>ELENI M</v>
      </c>
      <c r="D629" s="5">
        <f>IFERROR(__xludf.DUMMYFUNCTION("""COMPUTED_VALUE"""),9228033.0)</f>
        <v>9228033</v>
      </c>
      <c r="E629" s="5" t="str">
        <f>IFERROR(__xludf.DUMMYFUNCTION("""COMPUTED_VALUE"""),"Yuzhny/Pivdennyi")</f>
        <v>Yuzhny/Pivdennyi</v>
      </c>
      <c r="F629" s="5" t="str">
        <f>IFERROR(__xludf.DUMMYFUNCTION("""COMPUTED_VALUE"""),"Italy")</f>
        <v>Italy</v>
      </c>
      <c r="G629" s="5" t="str">
        <f>IFERROR(__xludf.DUMMYFUNCTION("""COMPUTED_VALUE"""),"Wheat")</f>
        <v>Wheat</v>
      </c>
      <c r="H629" s="6">
        <f>IFERROR(__xludf.DUMMYFUNCTION("""COMPUTED_VALUE"""),41540.0)</f>
        <v>41540</v>
      </c>
      <c r="I629" s="7">
        <f>IFERROR(__xludf.DUMMYFUNCTION("""COMPUTED_VALUE"""),44881.0)</f>
        <v>44881</v>
      </c>
      <c r="J629" s="7">
        <f>IFERROR(__xludf.DUMMYFUNCTION("""COMPUTED_VALUE"""),44895.0)</f>
        <v>44895</v>
      </c>
      <c r="K629" s="5" t="str">
        <f>IFERROR(__xludf.DUMMYFUNCTION("""COMPUTED_VALUE"""),"high-income")</f>
        <v>high-income</v>
      </c>
      <c r="L629" s="5" t="str">
        <f>IFERROR(__xludf.DUMMYFUNCTION("""COMPUTED_VALUE"""),"Malta")</f>
        <v>Malta</v>
      </c>
      <c r="M629" s="5" t="str">
        <f>IFERROR(__xludf.DUMMYFUNCTION("""COMPUTED_VALUE"""),"Europe &amp; Central Asia")</f>
        <v>Europe &amp; Central Asia</v>
      </c>
      <c r="N629" s="5" t="str">
        <f>IFERROR(__xludf.DUMMYFUNCTION("""COMPUTED_VALUE"""),"Western Europe and Others")</f>
        <v>Western Europe and Others</v>
      </c>
      <c r="O629" s="5" t="str">
        <f>IFERROR(__xludf.DUMMYFUNCTION("""COMPUTED_VALUE"""),"developed")</f>
        <v>developed</v>
      </c>
      <c r="P629" s="5"/>
      <c r="Q629" s="5"/>
    </row>
    <row r="630">
      <c r="A630" s="5" t="str">
        <f>IFERROR(__xludf.DUMMYFUNCTION("""COMPUTED_VALUE"""),"Outbound")</f>
        <v>Outbound</v>
      </c>
      <c r="B630" s="5">
        <f>IFERROR(__xludf.DUMMYFUNCTION("""COMPUTED_VALUE"""),462.0)</f>
        <v>462</v>
      </c>
      <c r="C630" s="5" t="str">
        <f>IFERROR(__xludf.DUMMYFUNCTION("""COMPUTED_VALUE"""),"AMBER S")</f>
        <v>AMBER S</v>
      </c>
      <c r="D630" s="5">
        <f>IFERROR(__xludf.DUMMYFUNCTION("""COMPUTED_VALUE"""),9200354.0)</f>
        <v>9200354</v>
      </c>
      <c r="E630" s="5" t="str">
        <f>IFERROR(__xludf.DUMMYFUNCTION("""COMPUTED_VALUE"""),"Yuzhny/Pivdennyi")</f>
        <v>Yuzhny/Pivdennyi</v>
      </c>
      <c r="F630" s="5" t="str">
        <f>IFERROR(__xludf.DUMMYFUNCTION("""COMPUTED_VALUE"""),"Italy")</f>
        <v>Italy</v>
      </c>
      <c r="G630" s="5" t="str">
        <f>IFERROR(__xludf.DUMMYFUNCTION("""COMPUTED_VALUE"""),"Wheat")</f>
        <v>Wheat</v>
      </c>
      <c r="H630" s="6">
        <f>IFERROR(__xludf.DUMMYFUNCTION("""COMPUTED_VALUE"""),44194.0)</f>
        <v>44194</v>
      </c>
      <c r="I630" s="7">
        <f>IFERROR(__xludf.DUMMYFUNCTION("""COMPUTED_VALUE"""),44881.0)</f>
        <v>44881</v>
      </c>
      <c r="J630" s="7">
        <f>IFERROR(__xludf.DUMMYFUNCTION("""COMPUTED_VALUE"""),44885.0)</f>
        <v>44885</v>
      </c>
      <c r="K630" s="5" t="str">
        <f>IFERROR(__xludf.DUMMYFUNCTION("""COMPUTED_VALUE"""),"high-income")</f>
        <v>high-income</v>
      </c>
      <c r="L630" s="5" t="str">
        <f>IFERROR(__xludf.DUMMYFUNCTION("""COMPUTED_VALUE"""),"Liberia")</f>
        <v>Liberia</v>
      </c>
      <c r="M630" s="5" t="str">
        <f>IFERROR(__xludf.DUMMYFUNCTION("""COMPUTED_VALUE"""),"Europe &amp; Central Asia")</f>
        <v>Europe &amp; Central Asia</v>
      </c>
      <c r="N630" s="5" t="str">
        <f>IFERROR(__xludf.DUMMYFUNCTION("""COMPUTED_VALUE"""),"Western Europe and Others")</f>
        <v>Western Europe and Others</v>
      </c>
      <c r="O630" s="5" t="str">
        <f>IFERROR(__xludf.DUMMYFUNCTION("""COMPUTED_VALUE"""),"developed")</f>
        <v>developed</v>
      </c>
      <c r="P630" s="5"/>
      <c r="Q630" s="5"/>
    </row>
    <row r="631">
      <c r="A631" s="5" t="str">
        <f>IFERROR(__xludf.DUMMYFUNCTION("""COMPUTED_VALUE"""),"Outbound")</f>
        <v>Outbound</v>
      </c>
      <c r="B631" s="5">
        <f>IFERROR(__xludf.DUMMYFUNCTION("""COMPUTED_VALUE"""),461.0)</f>
        <v>461</v>
      </c>
      <c r="C631" s="5" t="str">
        <f>IFERROR(__xludf.DUMMYFUNCTION("""COMPUTED_VALUE"""),"ABILENE")</f>
        <v>ABILENE</v>
      </c>
      <c r="D631" s="5">
        <f>IFERROR(__xludf.DUMMYFUNCTION("""COMPUTED_VALUE"""),9723057.0)</f>
        <v>9723057</v>
      </c>
      <c r="E631" s="5" t="str">
        <f>IFERROR(__xludf.DUMMYFUNCTION("""COMPUTED_VALUE"""),"Odesa")</f>
        <v>Odesa</v>
      </c>
      <c r="F631" s="5" t="str">
        <f>IFERROR(__xludf.DUMMYFUNCTION("""COMPUTED_VALUE"""),"The Netherlands")</f>
        <v>The Netherlands</v>
      </c>
      <c r="G631" s="5" t="str">
        <f>IFERROR(__xludf.DUMMYFUNCTION("""COMPUTED_VALUE"""),"Rapeseed")</f>
        <v>Rapeseed</v>
      </c>
      <c r="H631" s="6">
        <f>IFERROR(__xludf.DUMMYFUNCTION("""COMPUTED_VALUE"""),51500.0)</f>
        <v>51500</v>
      </c>
      <c r="I631" s="7">
        <f>IFERROR(__xludf.DUMMYFUNCTION("""COMPUTED_VALUE"""),44881.0)</f>
        <v>44881</v>
      </c>
      <c r="J631" s="7">
        <f>IFERROR(__xludf.DUMMYFUNCTION("""COMPUTED_VALUE"""),44885.0)</f>
        <v>44885</v>
      </c>
      <c r="K631" s="5" t="str">
        <f>IFERROR(__xludf.DUMMYFUNCTION("""COMPUTED_VALUE"""),"high-income")</f>
        <v>high-income</v>
      </c>
      <c r="L631" s="5" t="str">
        <f>IFERROR(__xludf.DUMMYFUNCTION("""COMPUTED_VALUE"""),"Singapore")</f>
        <v>Singapore</v>
      </c>
      <c r="M631" s="5" t="str">
        <f>IFERROR(__xludf.DUMMYFUNCTION("""COMPUTED_VALUE"""),"Europe &amp; Central Asia")</f>
        <v>Europe &amp; Central Asia</v>
      </c>
      <c r="N631" s="5" t="str">
        <f>IFERROR(__xludf.DUMMYFUNCTION("""COMPUTED_VALUE"""),"Western Europe and Others")</f>
        <v>Western Europe and Others</v>
      </c>
      <c r="O631" s="5" t="str">
        <f>IFERROR(__xludf.DUMMYFUNCTION("""COMPUTED_VALUE"""),"developed")</f>
        <v>developed</v>
      </c>
      <c r="P631" s="5"/>
      <c r="Q631" s="5"/>
    </row>
    <row r="632">
      <c r="A632" s="5" t="str">
        <f>IFERROR(__xludf.DUMMYFUNCTION("""COMPUTED_VALUE"""),"Outbound")</f>
        <v>Outbound</v>
      </c>
      <c r="B632" s="5">
        <f>IFERROR(__xludf.DUMMYFUNCTION("""COMPUTED_VALUE"""),460.0)</f>
        <v>460</v>
      </c>
      <c r="C632" s="5" t="str">
        <f>IFERROR(__xludf.DUMMYFUNCTION("""COMPUTED_VALUE"""),"NADA")</f>
        <v>NADA</v>
      </c>
      <c r="D632" s="5">
        <f>IFERROR(__xludf.DUMMYFUNCTION("""COMPUTED_VALUE"""),9055163.0)</f>
        <v>9055163</v>
      </c>
      <c r="E632" s="5" t="str">
        <f>IFERROR(__xludf.DUMMYFUNCTION("""COMPUTED_VALUE"""),"Yuzhny/Pivdennyi")</f>
        <v>Yuzhny/Pivdennyi</v>
      </c>
      <c r="F632" s="5" t="str">
        <f>IFERROR(__xludf.DUMMYFUNCTION("""COMPUTED_VALUE"""),"Türkiye")</f>
        <v>Türkiye</v>
      </c>
      <c r="G632" s="5" t="str">
        <f>IFERROR(__xludf.DUMMYFUNCTION("""COMPUTED_VALUE"""),"Peas")</f>
        <v>Peas</v>
      </c>
      <c r="H632" s="6">
        <f>IFERROR(__xludf.DUMMYFUNCTION("""COMPUTED_VALUE"""),6100.0)</f>
        <v>6100</v>
      </c>
      <c r="I632" s="7">
        <f>IFERROR(__xludf.DUMMYFUNCTION("""COMPUTED_VALUE"""),44880.0)</f>
        <v>44880</v>
      </c>
      <c r="J632" s="7">
        <f>IFERROR(__xludf.DUMMYFUNCTION("""COMPUTED_VALUE"""),44884.0)</f>
        <v>44884</v>
      </c>
      <c r="K632" s="5" t="str">
        <f>IFERROR(__xludf.DUMMYFUNCTION("""COMPUTED_VALUE"""),"upper-middle-income")</f>
        <v>upper-middle-income</v>
      </c>
      <c r="L632" s="5" t="str">
        <f>IFERROR(__xludf.DUMMYFUNCTION("""COMPUTED_VALUE"""),"Comoros")</f>
        <v>Comoros</v>
      </c>
      <c r="M632" s="5" t="str">
        <f>IFERROR(__xludf.DUMMYFUNCTION("""COMPUTED_VALUE"""),"Europe &amp; Central Asia")</f>
        <v>Europe &amp; Central Asia</v>
      </c>
      <c r="N632" s="5" t="str">
        <f>IFERROR(__xludf.DUMMYFUNCTION("""COMPUTED_VALUE"""),"Asia-Pacific")</f>
        <v>Asia-Pacific</v>
      </c>
      <c r="O632" s="5" t="str">
        <f>IFERROR(__xludf.DUMMYFUNCTION("""COMPUTED_VALUE"""),"developing")</f>
        <v>developing</v>
      </c>
      <c r="P632" s="5"/>
      <c r="Q632" s="5"/>
    </row>
    <row r="633">
      <c r="A633" s="5" t="str">
        <f>IFERROR(__xludf.DUMMYFUNCTION("""COMPUTED_VALUE"""),"Outbound")</f>
        <v>Outbound</v>
      </c>
      <c r="B633" s="5">
        <f>IFERROR(__xludf.DUMMYFUNCTION("""COMPUTED_VALUE"""),459.0)</f>
        <v>459</v>
      </c>
      <c r="C633" s="5" t="str">
        <f>IFERROR(__xludf.DUMMYFUNCTION("""COMPUTED_VALUE"""),"CAPTAIN P EGGLEZOS")</f>
        <v>CAPTAIN P EGGLEZOS</v>
      </c>
      <c r="D633" s="5">
        <f>IFERROR(__xludf.DUMMYFUNCTION("""COMPUTED_VALUE"""),9332224.0)</f>
        <v>9332224</v>
      </c>
      <c r="E633" s="5" t="str">
        <f>IFERROR(__xludf.DUMMYFUNCTION("""COMPUTED_VALUE"""),"Chornomorsk")</f>
        <v>Chornomorsk</v>
      </c>
      <c r="F633" s="5" t="str">
        <f>IFERROR(__xludf.DUMMYFUNCTION("""COMPUTED_VALUE"""),"China")</f>
        <v>China</v>
      </c>
      <c r="G633" s="5" t="str">
        <f>IFERROR(__xludf.DUMMYFUNCTION("""COMPUTED_VALUE"""),"Sunflower meal")</f>
        <v>Sunflower meal</v>
      </c>
      <c r="H633" s="6">
        <f>IFERROR(__xludf.DUMMYFUNCTION("""COMPUTED_VALUE"""),43000.0)</f>
        <v>43000</v>
      </c>
      <c r="I633" s="7">
        <f>IFERROR(__xludf.DUMMYFUNCTION("""COMPUTED_VALUE"""),44880.0)</f>
        <v>44880</v>
      </c>
      <c r="J633" s="7">
        <f>IFERROR(__xludf.DUMMYFUNCTION("""COMPUTED_VALUE"""),44893.0)</f>
        <v>44893</v>
      </c>
      <c r="K633" s="5" t="str">
        <f>IFERROR(__xludf.DUMMYFUNCTION("""COMPUTED_VALUE"""),"upper-middle-income")</f>
        <v>upper-middle-income</v>
      </c>
      <c r="L633" s="5" t="str">
        <f>IFERROR(__xludf.DUMMYFUNCTION("""COMPUTED_VALUE"""),"Liberia")</f>
        <v>Liberia</v>
      </c>
      <c r="M633" s="5" t="str">
        <f>IFERROR(__xludf.DUMMYFUNCTION("""COMPUTED_VALUE"""),"East Asia &amp; Pacific")</f>
        <v>East Asia &amp; Pacific</v>
      </c>
      <c r="N633" s="5" t="str">
        <f>IFERROR(__xludf.DUMMYFUNCTION("""COMPUTED_VALUE"""),"Asia-Pacific")</f>
        <v>Asia-Pacific</v>
      </c>
      <c r="O633" s="5" t="str">
        <f>IFERROR(__xludf.DUMMYFUNCTION("""COMPUTED_VALUE"""),"developing")</f>
        <v>developing</v>
      </c>
      <c r="P633" s="5"/>
      <c r="Q633" s="5"/>
    </row>
    <row r="634">
      <c r="A634" s="5" t="str">
        <f>IFERROR(__xludf.DUMMYFUNCTION("""COMPUTED_VALUE"""),"Outbound +")</f>
        <v>Outbound +</v>
      </c>
      <c r="B634" s="5">
        <f>IFERROR(__xludf.DUMMYFUNCTION("""COMPUTED_VALUE"""),458.0)</f>
        <v>458</v>
      </c>
      <c r="C634" s="5" t="str">
        <f>IFERROR(__xludf.DUMMYFUNCTION("""COMPUTED_VALUE"""),"BOZBURUN-M (WFP)")</f>
        <v>BOZBURUN-M (WFP)</v>
      </c>
      <c r="D634" s="5">
        <f>IFERROR(__xludf.DUMMYFUNCTION("""COMPUTED_VALUE"""),9237204.0)</f>
        <v>9237204</v>
      </c>
      <c r="E634" s="5" t="str">
        <f>IFERROR(__xludf.DUMMYFUNCTION("""COMPUTED_VALUE"""),"Odesa")</f>
        <v>Odesa</v>
      </c>
      <c r="F634" s="5" t="str">
        <f>IFERROR(__xludf.DUMMYFUNCTION("""COMPUTED_VALUE"""),"Afghanistan")</f>
        <v>Afghanistan</v>
      </c>
      <c r="G634" s="5" t="str">
        <f>IFERROR(__xludf.DUMMYFUNCTION("""COMPUTED_VALUE"""),"Wheat")</f>
        <v>Wheat</v>
      </c>
      <c r="H634" s="6">
        <f>IFERROR(__xludf.DUMMYFUNCTION("""COMPUTED_VALUE"""),20000.0)</f>
        <v>20000</v>
      </c>
      <c r="I634" s="7">
        <f>IFERROR(__xludf.DUMMYFUNCTION("""COMPUTED_VALUE"""),44880.0)</f>
        <v>44880</v>
      </c>
      <c r="J634" s="7">
        <f>IFERROR(__xludf.DUMMYFUNCTION("""COMPUTED_VALUE"""),44887.0)</f>
        <v>44887</v>
      </c>
      <c r="K634" s="5" t="str">
        <f>IFERROR(__xludf.DUMMYFUNCTION("""COMPUTED_VALUE"""),"low-income")</f>
        <v>low-income</v>
      </c>
      <c r="L634" s="5" t="str">
        <f>IFERROR(__xludf.DUMMYFUNCTION("""COMPUTED_VALUE"""),"Panama")</f>
        <v>Panama</v>
      </c>
      <c r="M634" s="5" t="str">
        <f>IFERROR(__xludf.DUMMYFUNCTION("""COMPUTED_VALUE"""),"South Asia")</f>
        <v>South Asia</v>
      </c>
      <c r="N634" s="5" t="str">
        <f>IFERROR(__xludf.DUMMYFUNCTION("""COMPUTED_VALUE"""),"Asia-Pacific")</f>
        <v>Asia-Pacific</v>
      </c>
      <c r="O634" s="5" t="str">
        <f>IFERROR(__xludf.DUMMYFUNCTION("""COMPUTED_VALUE"""),"developing")</f>
        <v>developing</v>
      </c>
      <c r="P634" s="5" t="str">
        <f>IFERROR(__xludf.DUMMYFUNCTION("""COMPUTED_VALUE"""),"WFP")</f>
        <v>WFP</v>
      </c>
      <c r="Q634" s="5"/>
    </row>
    <row r="635">
      <c r="A635" s="5" t="str">
        <f>IFERROR(__xludf.DUMMYFUNCTION("""COMPUTED_VALUE"""),"Outbound")</f>
        <v>Outbound</v>
      </c>
      <c r="B635" s="5">
        <f>IFERROR(__xludf.DUMMYFUNCTION("""COMPUTED_VALUE"""),458.0)</f>
        <v>458</v>
      </c>
      <c r="C635" s="5" t="str">
        <f>IFERROR(__xludf.DUMMYFUNCTION("""COMPUTED_VALUE"""),"BOZBURUN-M (WFP)")</f>
        <v>BOZBURUN-M (WFP)</v>
      </c>
      <c r="D635" s="5">
        <f>IFERROR(__xludf.DUMMYFUNCTION("""COMPUTED_VALUE"""),9237204.0)</f>
        <v>9237204</v>
      </c>
      <c r="E635" s="5" t="str">
        <f>IFERROR(__xludf.DUMMYFUNCTION("""COMPUTED_VALUE"""),"Odesa")</f>
        <v>Odesa</v>
      </c>
      <c r="F635" s="5" t="str">
        <f>IFERROR(__xludf.DUMMYFUNCTION("""COMPUTED_VALUE"""),"Yemen")</f>
        <v>Yemen</v>
      </c>
      <c r="G635" s="5" t="str">
        <f>IFERROR(__xludf.DUMMYFUNCTION("""COMPUTED_VALUE"""),"Wheat")</f>
        <v>Wheat</v>
      </c>
      <c r="H635" s="6">
        <f>IFERROR(__xludf.DUMMYFUNCTION("""COMPUTED_VALUE"""),20000.0)</f>
        <v>20000</v>
      </c>
      <c r="I635" s="7">
        <f>IFERROR(__xludf.DUMMYFUNCTION("""COMPUTED_VALUE"""),44880.0)</f>
        <v>44880</v>
      </c>
      <c r="J635" s="7">
        <f>IFERROR(__xludf.DUMMYFUNCTION("""COMPUTED_VALUE"""),44887.0)</f>
        <v>44887</v>
      </c>
      <c r="K635" s="5" t="str">
        <f>IFERROR(__xludf.DUMMYFUNCTION("""COMPUTED_VALUE"""),"low-income")</f>
        <v>low-income</v>
      </c>
      <c r="L635" s="5" t="str">
        <f>IFERROR(__xludf.DUMMYFUNCTION("""COMPUTED_VALUE"""),"Panama")</f>
        <v>Panama</v>
      </c>
      <c r="M635" s="5" t="str">
        <f>IFERROR(__xludf.DUMMYFUNCTION("""COMPUTED_VALUE"""),"Middle East &amp; North Africa")</f>
        <v>Middle East &amp; North Africa</v>
      </c>
      <c r="N635" s="5" t="str">
        <f>IFERROR(__xludf.DUMMYFUNCTION("""COMPUTED_VALUE"""),"Asia-Pacific")</f>
        <v>Asia-Pacific</v>
      </c>
      <c r="O635" s="5" t="str">
        <f>IFERROR(__xludf.DUMMYFUNCTION("""COMPUTED_VALUE"""),"developing")</f>
        <v>developing</v>
      </c>
      <c r="P635" s="5" t="str">
        <f>IFERROR(__xludf.DUMMYFUNCTION("""COMPUTED_VALUE"""),"WFP")</f>
        <v>WFP</v>
      </c>
      <c r="Q635" s="5"/>
    </row>
    <row r="636">
      <c r="A636" s="5" t="str">
        <f>IFERROR(__xludf.DUMMYFUNCTION("""COMPUTED_VALUE"""),"Outbound")</f>
        <v>Outbound</v>
      </c>
      <c r="B636" s="5">
        <f>IFERROR(__xludf.DUMMYFUNCTION("""COMPUTED_VALUE"""),457.0)</f>
        <v>457</v>
      </c>
      <c r="C636" s="5" t="str">
        <f>IFERROR(__xludf.DUMMYFUNCTION("""COMPUTED_VALUE"""),"AYSHA M")</f>
        <v>AYSHA M</v>
      </c>
      <c r="D636" s="5">
        <f>IFERROR(__xludf.DUMMYFUNCTION("""COMPUTED_VALUE"""),8511146.0)</f>
        <v>8511146</v>
      </c>
      <c r="E636" s="5" t="str">
        <f>IFERROR(__xludf.DUMMYFUNCTION("""COMPUTED_VALUE"""),"Chornomorsk")</f>
        <v>Chornomorsk</v>
      </c>
      <c r="F636" s="5" t="str">
        <f>IFERROR(__xludf.DUMMYFUNCTION("""COMPUTED_VALUE"""),"Türkiye")</f>
        <v>Türkiye</v>
      </c>
      <c r="G636" s="5" t="str">
        <f>IFERROR(__xludf.DUMMYFUNCTION("""COMPUTED_VALUE"""),"Soya beans")</f>
        <v>Soya beans</v>
      </c>
      <c r="H636" s="6">
        <f>IFERROR(__xludf.DUMMYFUNCTION("""COMPUTED_VALUE"""),6300.0)</f>
        <v>6300</v>
      </c>
      <c r="I636" s="7">
        <f>IFERROR(__xludf.DUMMYFUNCTION("""COMPUTED_VALUE"""),44880.0)</f>
        <v>44880</v>
      </c>
      <c r="J636" s="7">
        <f>IFERROR(__xludf.DUMMYFUNCTION("""COMPUTED_VALUE"""),44888.0)</f>
        <v>44888</v>
      </c>
      <c r="K636" s="5" t="str">
        <f>IFERROR(__xludf.DUMMYFUNCTION("""COMPUTED_VALUE"""),"upper-middle-income")</f>
        <v>upper-middle-income</v>
      </c>
      <c r="L636" s="5" t="str">
        <f>IFERROR(__xludf.DUMMYFUNCTION("""COMPUTED_VALUE"""),"Comoros")</f>
        <v>Comoros</v>
      </c>
      <c r="M636" s="5" t="str">
        <f>IFERROR(__xludf.DUMMYFUNCTION("""COMPUTED_VALUE"""),"Europe &amp; Central Asia")</f>
        <v>Europe &amp; Central Asia</v>
      </c>
      <c r="N636" s="5" t="str">
        <f>IFERROR(__xludf.DUMMYFUNCTION("""COMPUTED_VALUE"""),"Asia-Pacific")</f>
        <v>Asia-Pacific</v>
      </c>
      <c r="O636" s="5" t="str">
        <f>IFERROR(__xludf.DUMMYFUNCTION("""COMPUTED_VALUE"""),"developing")</f>
        <v>developing</v>
      </c>
      <c r="P636" s="5"/>
      <c r="Q636" s="5"/>
    </row>
    <row r="637">
      <c r="A637" s="5" t="str">
        <f>IFERROR(__xludf.DUMMYFUNCTION("""COMPUTED_VALUE"""),"Outbound")</f>
        <v>Outbound</v>
      </c>
      <c r="B637" s="5">
        <f>IFERROR(__xludf.DUMMYFUNCTION("""COMPUTED_VALUE"""),456.0)</f>
        <v>456</v>
      </c>
      <c r="C637" s="5" t="str">
        <f>IFERROR(__xludf.DUMMYFUNCTION("""COMPUTED_VALUE"""),"OTAGO BAY")</f>
        <v>OTAGO BAY</v>
      </c>
      <c r="D637" s="5">
        <f>IFERROR(__xludf.DUMMYFUNCTION("""COMPUTED_VALUE"""),9782015.0)</f>
        <v>9782015</v>
      </c>
      <c r="E637" s="5" t="str">
        <f>IFERROR(__xludf.DUMMYFUNCTION("""COMPUTED_VALUE"""),"Odesa")</f>
        <v>Odesa</v>
      </c>
      <c r="F637" s="5" t="str">
        <f>IFERROR(__xludf.DUMMYFUNCTION("""COMPUTED_VALUE"""),"Spain")</f>
        <v>Spain</v>
      </c>
      <c r="G637" s="5" t="str">
        <f>IFERROR(__xludf.DUMMYFUNCTION("""COMPUTED_VALUE"""),"Barley")</f>
        <v>Barley</v>
      </c>
      <c r="H637" s="6">
        <f>IFERROR(__xludf.DUMMYFUNCTION("""COMPUTED_VALUE"""),37500.0)</f>
        <v>37500</v>
      </c>
      <c r="I637" s="7">
        <f>IFERROR(__xludf.DUMMYFUNCTION("""COMPUTED_VALUE"""),44879.0)</f>
        <v>44879</v>
      </c>
      <c r="J637" s="7">
        <f>IFERROR(__xludf.DUMMYFUNCTION("""COMPUTED_VALUE"""),44881.0)</f>
        <v>44881</v>
      </c>
      <c r="K637" s="5" t="str">
        <f>IFERROR(__xludf.DUMMYFUNCTION("""COMPUTED_VALUE"""),"high-income")</f>
        <v>high-income</v>
      </c>
      <c r="L637" s="5" t="str">
        <f>IFERROR(__xludf.DUMMYFUNCTION("""COMPUTED_VALUE"""),"Hong Kong")</f>
        <v>Hong Kong</v>
      </c>
      <c r="M637" s="5" t="str">
        <f>IFERROR(__xludf.DUMMYFUNCTION("""COMPUTED_VALUE"""),"Europe &amp; Central Asia")</f>
        <v>Europe &amp; Central Asia</v>
      </c>
      <c r="N637" s="5" t="str">
        <f>IFERROR(__xludf.DUMMYFUNCTION("""COMPUTED_VALUE"""),"Western Europe and Others")</f>
        <v>Western Europe and Others</v>
      </c>
      <c r="O637" s="5" t="str">
        <f>IFERROR(__xludf.DUMMYFUNCTION("""COMPUTED_VALUE"""),"developed")</f>
        <v>developed</v>
      </c>
      <c r="P637" s="5"/>
      <c r="Q637" s="5"/>
    </row>
    <row r="638">
      <c r="A638" s="5" t="str">
        <f>IFERROR(__xludf.DUMMYFUNCTION("""COMPUTED_VALUE"""),"Outbound +")</f>
        <v>Outbound +</v>
      </c>
      <c r="B638" s="5">
        <f>IFERROR(__xludf.DUMMYFUNCTION("""COMPUTED_VALUE"""),456.0)</f>
        <v>456</v>
      </c>
      <c r="C638" s="5" t="str">
        <f>IFERROR(__xludf.DUMMYFUNCTION("""COMPUTED_VALUE"""),"OTAGO BAY")</f>
        <v>OTAGO BAY</v>
      </c>
      <c r="D638" s="5">
        <f>IFERROR(__xludf.DUMMYFUNCTION("""COMPUTED_VALUE"""),9782015.0)</f>
        <v>9782015</v>
      </c>
      <c r="E638" s="5" t="str">
        <f>IFERROR(__xludf.DUMMYFUNCTION("""COMPUTED_VALUE"""),"Odesa")</f>
        <v>Odesa</v>
      </c>
      <c r="F638" s="5" t="str">
        <f>IFERROR(__xludf.DUMMYFUNCTION("""COMPUTED_VALUE"""),"Spain")</f>
        <v>Spain</v>
      </c>
      <c r="G638" s="5" t="str">
        <f>IFERROR(__xludf.DUMMYFUNCTION("""COMPUTED_VALUE"""),"Corn")</f>
        <v>Corn</v>
      </c>
      <c r="H638" s="6">
        <f>IFERROR(__xludf.DUMMYFUNCTION("""COMPUTED_VALUE"""),12500.0)</f>
        <v>12500</v>
      </c>
      <c r="I638" s="7">
        <f>IFERROR(__xludf.DUMMYFUNCTION("""COMPUTED_VALUE"""),44879.0)</f>
        <v>44879</v>
      </c>
      <c r="J638" s="7">
        <f>IFERROR(__xludf.DUMMYFUNCTION("""COMPUTED_VALUE"""),44881.0)</f>
        <v>44881</v>
      </c>
      <c r="K638" s="5" t="str">
        <f>IFERROR(__xludf.DUMMYFUNCTION("""COMPUTED_VALUE"""),"high-income")</f>
        <v>high-income</v>
      </c>
      <c r="L638" s="5" t="str">
        <f>IFERROR(__xludf.DUMMYFUNCTION("""COMPUTED_VALUE"""),"Hong Kong")</f>
        <v>Hong Kong</v>
      </c>
      <c r="M638" s="5" t="str">
        <f>IFERROR(__xludf.DUMMYFUNCTION("""COMPUTED_VALUE"""),"Europe &amp; Central Asia")</f>
        <v>Europe &amp; Central Asia</v>
      </c>
      <c r="N638" s="5" t="str">
        <f>IFERROR(__xludf.DUMMYFUNCTION("""COMPUTED_VALUE"""),"Western Europe and Others")</f>
        <v>Western Europe and Others</v>
      </c>
      <c r="O638" s="5" t="str">
        <f>IFERROR(__xludf.DUMMYFUNCTION("""COMPUTED_VALUE"""),"developed")</f>
        <v>developed</v>
      </c>
      <c r="P638" s="5"/>
      <c r="Q638" s="5"/>
    </row>
    <row r="639">
      <c r="A639" s="5" t="str">
        <f>IFERROR(__xludf.DUMMYFUNCTION("""COMPUTED_VALUE"""),"Outbound")</f>
        <v>Outbound</v>
      </c>
      <c r="B639" s="5">
        <f>IFERROR(__xludf.DUMMYFUNCTION("""COMPUTED_VALUE"""),455.0)</f>
        <v>455</v>
      </c>
      <c r="C639" s="5" t="str">
        <f>IFERROR(__xludf.DUMMYFUNCTION("""COMPUTED_VALUE"""),"LUNE B")</f>
        <v>LUNE B</v>
      </c>
      <c r="D639" s="5">
        <f>IFERROR(__xludf.DUMMYFUNCTION("""COMPUTED_VALUE"""),9163491.0)</f>
        <v>9163491</v>
      </c>
      <c r="E639" s="5" t="str">
        <f>IFERROR(__xludf.DUMMYFUNCTION("""COMPUTED_VALUE"""),"Odesa")</f>
        <v>Odesa</v>
      </c>
      <c r="F639" s="5" t="str">
        <f>IFERROR(__xludf.DUMMYFUNCTION("""COMPUTED_VALUE"""),"Türkiye")</f>
        <v>Türkiye</v>
      </c>
      <c r="G639" s="5" t="str">
        <f>IFERROR(__xludf.DUMMYFUNCTION("""COMPUTED_VALUE"""),"Wheat")</f>
        <v>Wheat</v>
      </c>
      <c r="H639" s="6">
        <f>IFERROR(__xludf.DUMMYFUNCTION("""COMPUTED_VALUE"""),27000.0)</f>
        <v>27000</v>
      </c>
      <c r="I639" s="7">
        <f>IFERROR(__xludf.DUMMYFUNCTION("""COMPUTED_VALUE"""),44879.0)</f>
        <v>44879</v>
      </c>
      <c r="J639" s="7">
        <f>IFERROR(__xludf.DUMMYFUNCTION("""COMPUTED_VALUE"""),44888.0)</f>
        <v>44888</v>
      </c>
      <c r="K639" s="5" t="str">
        <f>IFERROR(__xludf.DUMMYFUNCTION("""COMPUTED_VALUE"""),"upper-middle-income")</f>
        <v>upper-middle-income</v>
      </c>
      <c r="L639" s="5" t="str">
        <f>IFERROR(__xludf.DUMMYFUNCTION("""COMPUTED_VALUE"""),"Palau")</f>
        <v>Palau</v>
      </c>
      <c r="M639" s="5" t="str">
        <f>IFERROR(__xludf.DUMMYFUNCTION("""COMPUTED_VALUE"""),"Europe &amp; Central Asia")</f>
        <v>Europe &amp; Central Asia</v>
      </c>
      <c r="N639" s="5" t="str">
        <f>IFERROR(__xludf.DUMMYFUNCTION("""COMPUTED_VALUE"""),"Asia-Pacific")</f>
        <v>Asia-Pacific</v>
      </c>
      <c r="O639" s="5" t="str">
        <f>IFERROR(__xludf.DUMMYFUNCTION("""COMPUTED_VALUE"""),"developing")</f>
        <v>developing</v>
      </c>
      <c r="P639" s="5"/>
      <c r="Q639" s="5"/>
    </row>
    <row r="640">
      <c r="A640" s="5" t="str">
        <f>IFERROR(__xludf.DUMMYFUNCTION("""COMPUTED_VALUE"""),"Outbound +")</f>
        <v>Outbound +</v>
      </c>
      <c r="B640" s="5">
        <f>IFERROR(__xludf.DUMMYFUNCTION("""COMPUTED_VALUE"""),455.0)</f>
        <v>455</v>
      </c>
      <c r="C640" s="5" t="str">
        <f>IFERROR(__xludf.DUMMYFUNCTION("""COMPUTED_VALUE"""),"LUNE B")</f>
        <v>LUNE B</v>
      </c>
      <c r="D640" s="5">
        <f>IFERROR(__xludf.DUMMYFUNCTION("""COMPUTED_VALUE"""),9163491.0)</f>
        <v>9163491</v>
      </c>
      <c r="E640" s="5" t="str">
        <f>IFERROR(__xludf.DUMMYFUNCTION("""COMPUTED_VALUE"""),"Odesa")</f>
        <v>Odesa</v>
      </c>
      <c r="F640" s="5" t="str">
        <f>IFERROR(__xludf.DUMMYFUNCTION("""COMPUTED_VALUE"""),"Türkiye")</f>
        <v>Türkiye</v>
      </c>
      <c r="G640" s="5" t="str">
        <f>IFERROR(__xludf.DUMMYFUNCTION("""COMPUTED_VALUE"""),"Corn")</f>
        <v>Corn</v>
      </c>
      <c r="H640" s="6">
        <f>IFERROR(__xludf.DUMMYFUNCTION("""COMPUTED_VALUE"""),14000.0)</f>
        <v>14000</v>
      </c>
      <c r="I640" s="7">
        <f>IFERROR(__xludf.DUMMYFUNCTION("""COMPUTED_VALUE"""),44879.0)</f>
        <v>44879</v>
      </c>
      <c r="J640" s="7">
        <f>IFERROR(__xludf.DUMMYFUNCTION("""COMPUTED_VALUE"""),44888.0)</f>
        <v>44888</v>
      </c>
      <c r="K640" s="5" t="str">
        <f>IFERROR(__xludf.DUMMYFUNCTION("""COMPUTED_VALUE"""),"upper-middle-income")</f>
        <v>upper-middle-income</v>
      </c>
      <c r="L640" s="5" t="str">
        <f>IFERROR(__xludf.DUMMYFUNCTION("""COMPUTED_VALUE"""),"Palau")</f>
        <v>Palau</v>
      </c>
      <c r="M640" s="5" t="str">
        <f>IFERROR(__xludf.DUMMYFUNCTION("""COMPUTED_VALUE"""),"Europe &amp; Central Asia")</f>
        <v>Europe &amp; Central Asia</v>
      </c>
      <c r="N640" s="5" t="str">
        <f>IFERROR(__xludf.DUMMYFUNCTION("""COMPUTED_VALUE"""),"Asia-Pacific")</f>
        <v>Asia-Pacific</v>
      </c>
      <c r="O640" s="5" t="str">
        <f>IFERROR(__xludf.DUMMYFUNCTION("""COMPUTED_VALUE"""),"developing")</f>
        <v>developing</v>
      </c>
      <c r="P640" s="5"/>
      <c r="Q640" s="5"/>
    </row>
    <row r="641">
      <c r="A641" s="5" t="str">
        <f>IFERROR(__xludf.DUMMYFUNCTION("""COMPUTED_VALUE"""),"Outbound")</f>
        <v>Outbound</v>
      </c>
      <c r="B641" s="5">
        <f>IFERROR(__xludf.DUMMYFUNCTION("""COMPUTED_VALUE"""),454.0)</f>
        <v>454</v>
      </c>
      <c r="C641" s="5" t="str">
        <f>IFERROR(__xludf.DUMMYFUNCTION("""COMPUTED_VALUE"""),"EAST WIND I")</f>
        <v>EAST WIND I</v>
      </c>
      <c r="D641" s="5">
        <f>IFERROR(__xludf.DUMMYFUNCTION("""COMPUTED_VALUE"""),9278973.0)</f>
        <v>9278973</v>
      </c>
      <c r="E641" s="5" t="str">
        <f>IFERROR(__xludf.DUMMYFUNCTION("""COMPUTED_VALUE"""),"Yuzhny/Pivdennyi")</f>
        <v>Yuzhny/Pivdennyi</v>
      </c>
      <c r="F641" s="5" t="str">
        <f>IFERROR(__xludf.DUMMYFUNCTION("""COMPUTED_VALUE"""),"Tunisia")</f>
        <v>Tunisia</v>
      </c>
      <c r="G641" s="5" t="str">
        <f>IFERROR(__xludf.DUMMYFUNCTION("""COMPUTED_VALUE"""),"Barley")</f>
        <v>Barley</v>
      </c>
      <c r="H641" s="6">
        <f>IFERROR(__xludf.DUMMYFUNCTION("""COMPUTED_VALUE"""),25000.0)</f>
        <v>25000</v>
      </c>
      <c r="I641" s="7">
        <f>IFERROR(__xludf.DUMMYFUNCTION("""COMPUTED_VALUE"""),44879.0)</f>
        <v>44879</v>
      </c>
      <c r="J641" s="7">
        <f>IFERROR(__xludf.DUMMYFUNCTION("""COMPUTED_VALUE"""),44883.0)</f>
        <v>44883</v>
      </c>
      <c r="K641" s="5" t="str">
        <f>IFERROR(__xludf.DUMMYFUNCTION("""COMPUTED_VALUE"""),"lower-middle income")</f>
        <v>lower-middle income</v>
      </c>
      <c r="L641" s="5" t="str">
        <f>IFERROR(__xludf.DUMMYFUNCTION("""COMPUTED_VALUE"""),"Panama")</f>
        <v>Panama</v>
      </c>
      <c r="M641" s="5" t="str">
        <f>IFERROR(__xludf.DUMMYFUNCTION("""COMPUTED_VALUE"""),"Middle East &amp; North Africa")</f>
        <v>Middle East &amp; North Africa</v>
      </c>
      <c r="N641" s="5" t="str">
        <f>IFERROR(__xludf.DUMMYFUNCTION("""COMPUTED_VALUE"""),"Africa")</f>
        <v>Africa</v>
      </c>
      <c r="O641" s="5" t="str">
        <f>IFERROR(__xludf.DUMMYFUNCTION("""COMPUTED_VALUE"""),"developing")</f>
        <v>developing</v>
      </c>
      <c r="P641" s="5"/>
      <c r="Q641" s="5"/>
    </row>
    <row r="642">
      <c r="A642" s="5" t="str">
        <f>IFERROR(__xludf.DUMMYFUNCTION("""COMPUTED_VALUE"""),"Outbound")</f>
        <v>Outbound</v>
      </c>
      <c r="B642" s="5">
        <f>IFERROR(__xludf.DUMMYFUNCTION("""COMPUTED_VALUE"""),453.0)</f>
        <v>453</v>
      </c>
      <c r="C642" s="5" t="str">
        <f>IFERROR(__xludf.DUMMYFUNCTION("""COMPUTED_VALUE"""),"CANGA STAR")</f>
        <v>CANGA STAR</v>
      </c>
      <c r="D642" s="5">
        <f>IFERROR(__xludf.DUMMYFUNCTION("""COMPUTED_VALUE"""),9540039.0)</f>
        <v>9540039</v>
      </c>
      <c r="E642" s="5" t="str">
        <f>IFERROR(__xludf.DUMMYFUNCTION("""COMPUTED_VALUE"""),"Chornomorsk")</f>
        <v>Chornomorsk</v>
      </c>
      <c r="F642" s="5" t="str">
        <f>IFERROR(__xludf.DUMMYFUNCTION("""COMPUTED_VALUE"""),"Spain")</f>
        <v>Spain</v>
      </c>
      <c r="G642" s="5" t="str">
        <f>IFERROR(__xludf.DUMMYFUNCTION("""COMPUTED_VALUE"""),"Sunflower meal")</f>
        <v>Sunflower meal</v>
      </c>
      <c r="H642" s="6">
        <f>IFERROR(__xludf.DUMMYFUNCTION("""COMPUTED_VALUE"""),6000.0)</f>
        <v>6000</v>
      </c>
      <c r="I642" s="7">
        <f>IFERROR(__xludf.DUMMYFUNCTION("""COMPUTED_VALUE"""),44879.0)</f>
        <v>44879</v>
      </c>
      <c r="J642" s="7">
        <f>IFERROR(__xludf.DUMMYFUNCTION("""COMPUTED_VALUE"""),44892.0)</f>
        <v>44892</v>
      </c>
      <c r="K642" s="5" t="str">
        <f>IFERROR(__xludf.DUMMYFUNCTION("""COMPUTED_VALUE"""),"high-income")</f>
        <v>high-income</v>
      </c>
      <c r="L642" s="5" t="str">
        <f>IFERROR(__xludf.DUMMYFUNCTION("""COMPUTED_VALUE"""),"Vanuatu")</f>
        <v>Vanuatu</v>
      </c>
      <c r="M642" s="5" t="str">
        <f>IFERROR(__xludf.DUMMYFUNCTION("""COMPUTED_VALUE"""),"Europe &amp; Central Asia")</f>
        <v>Europe &amp; Central Asia</v>
      </c>
      <c r="N642" s="5" t="str">
        <f>IFERROR(__xludf.DUMMYFUNCTION("""COMPUTED_VALUE"""),"Western Europe and Others")</f>
        <v>Western Europe and Others</v>
      </c>
      <c r="O642" s="5" t="str">
        <f>IFERROR(__xludf.DUMMYFUNCTION("""COMPUTED_VALUE"""),"developed")</f>
        <v>developed</v>
      </c>
      <c r="P642" s="5"/>
      <c r="Q642" s="5"/>
    </row>
    <row r="643">
      <c r="A643" s="5" t="str">
        <f>IFERROR(__xludf.DUMMYFUNCTION("""COMPUTED_VALUE"""),"Outbound")</f>
        <v>Outbound</v>
      </c>
      <c r="B643" s="5">
        <f>IFERROR(__xludf.DUMMYFUNCTION("""COMPUTED_VALUE"""),452.0)</f>
        <v>452</v>
      </c>
      <c r="C643" s="5" t="str">
        <f>IFERROR(__xludf.DUMMYFUNCTION("""COMPUTED_VALUE"""),"STAVROS")</f>
        <v>STAVROS</v>
      </c>
      <c r="D643" s="5">
        <f>IFERROR(__xludf.DUMMYFUNCTION("""COMPUTED_VALUE"""),9425875.0)</f>
        <v>9425875</v>
      </c>
      <c r="E643" s="5" t="str">
        <f>IFERROR(__xludf.DUMMYFUNCTION("""COMPUTED_VALUE"""),"Yuzhny/Pivdennyi")</f>
        <v>Yuzhny/Pivdennyi</v>
      </c>
      <c r="F643" s="5" t="str">
        <f>IFERROR(__xludf.DUMMYFUNCTION("""COMPUTED_VALUE"""),"Yemen")</f>
        <v>Yemen</v>
      </c>
      <c r="G643" s="5" t="str">
        <f>IFERROR(__xludf.DUMMYFUNCTION("""COMPUTED_VALUE"""),"Wheat")</f>
        <v>Wheat</v>
      </c>
      <c r="H643" s="6">
        <f>IFERROR(__xludf.DUMMYFUNCTION("""COMPUTED_VALUE"""),55318.0)</f>
        <v>55318</v>
      </c>
      <c r="I643" s="7">
        <f>IFERROR(__xludf.DUMMYFUNCTION("""COMPUTED_VALUE"""),44878.0)</f>
        <v>44878</v>
      </c>
      <c r="J643" s="7">
        <f>IFERROR(__xludf.DUMMYFUNCTION("""COMPUTED_VALUE"""),44891.0)</f>
        <v>44891</v>
      </c>
      <c r="K643" s="5" t="str">
        <f>IFERROR(__xludf.DUMMYFUNCTION("""COMPUTED_VALUE"""),"low-income")</f>
        <v>low-income</v>
      </c>
      <c r="L643" s="5" t="str">
        <f>IFERROR(__xludf.DUMMYFUNCTION("""COMPUTED_VALUE"""),"Malta")</f>
        <v>Malta</v>
      </c>
      <c r="M643" s="5" t="str">
        <f>IFERROR(__xludf.DUMMYFUNCTION("""COMPUTED_VALUE"""),"Middle East &amp; North Africa")</f>
        <v>Middle East &amp; North Africa</v>
      </c>
      <c r="N643" s="5" t="str">
        <f>IFERROR(__xludf.DUMMYFUNCTION("""COMPUTED_VALUE"""),"Asia-Pacific")</f>
        <v>Asia-Pacific</v>
      </c>
      <c r="O643" s="5" t="str">
        <f>IFERROR(__xludf.DUMMYFUNCTION("""COMPUTED_VALUE"""),"developing")</f>
        <v>developing</v>
      </c>
      <c r="P643" s="5"/>
      <c r="Q643" s="5"/>
    </row>
    <row r="644">
      <c r="A644" s="5" t="str">
        <f>IFERROR(__xludf.DUMMYFUNCTION("""COMPUTED_VALUE"""),"Outbound")</f>
        <v>Outbound</v>
      </c>
      <c r="B644" s="5">
        <f>IFERROR(__xludf.DUMMYFUNCTION("""COMPUTED_VALUE"""),451.0)</f>
        <v>451</v>
      </c>
      <c r="C644" s="5" t="str">
        <f>IFERROR(__xludf.DUMMYFUNCTION("""COMPUTED_VALUE"""),"SSI ERDOGAN BEY")</f>
        <v>SSI ERDOGAN BEY</v>
      </c>
      <c r="D644" s="5">
        <f>IFERROR(__xludf.DUMMYFUNCTION("""COMPUTED_VALUE"""),9401946.0)</f>
        <v>9401946</v>
      </c>
      <c r="E644" s="5" t="str">
        <f>IFERROR(__xludf.DUMMYFUNCTION("""COMPUTED_VALUE"""),"Yuzhny/Pivdennyi")</f>
        <v>Yuzhny/Pivdennyi</v>
      </c>
      <c r="F644" s="5" t="str">
        <f>IFERROR(__xludf.DUMMYFUNCTION("""COMPUTED_VALUE"""),"Germany")</f>
        <v>Germany</v>
      </c>
      <c r="G644" s="5" t="str">
        <f>IFERROR(__xludf.DUMMYFUNCTION("""COMPUTED_VALUE"""),"Rapeseed")</f>
        <v>Rapeseed</v>
      </c>
      <c r="H644" s="6">
        <f>IFERROR(__xludf.DUMMYFUNCTION("""COMPUTED_VALUE"""),34200.0)</f>
        <v>34200</v>
      </c>
      <c r="I644" s="7">
        <f>IFERROR(__xludf.DUMMYFUNCTION("""COMPUTED_VALUE"""),44878.0)</f>
        <v>44878</v>
      </c>
      <c r="J644" s="7">
        <f>IFERROR(__xludf.DUMMYFUNCTION("""COMPUTED_VALUE"""),44881.0)</f>
        <v>44881</v>
      </c>
      <c r="K644" s="5" t="str">
        <f>IFERROR(__xludf.DUMMYFUNCTION("""COMPUTED_VALUE"""),"high-income")</f>
        <v>high-income</v>
      </c>
      <c r="L644" s="5" t="str">
        <f>IFERROR(__xludf.DUMMYFUNCTION("""COMPUTED_VALUE"""),"Marshall Islands")</f>
        <v>Marshall Islands</v>
      </c>
      <c r="M644" s="5" t="str">
        <f>IFERROR(__xludf.DUMMYFUNCTION("""COMPUTED_VALUE"""),"Europe &amp; Central Asia")</f>
        <v>Europe &amp; Central Asia</v>
      </c>
      <c r="N644" s="5" t="str">
        <f>IFERROR(__xludf.DUMMYFUNCTION("""COMPUTED_VALUE"""),"Western Europe and Others")</f>
        <v>Western Europe and Others</v>
      </c>
      <c r="O644" s="5" t="str">
        <f>IFERROR(__xludf.DUMMYFUNCTION("""COMPUTED_VALUE"""),"developed")</f>
        <v>developed</v>
      </c>
      <c r="P644" s="5"/>
      <c r="Q644" s="5"/>
    </row>
    <row r="645">
      <c r="A645" s="5" t="str">
        <f>IFERROR(__xludf.DUMMYFUNCTION("""COMPUTED_VALUE"""),"Outbound")</f>
        <v>Outbound</v>
      </c>
      <c r="B645" s="5">
        <f>IFERROR(__xludf.DUMMYFUNCTION("""COMPUTED_VALUE"""),450.0)</f>
        <v>450</v>
      </c>
      <c r="C645" s="5" t="str">
        <f>IFERROR(__xludf.DUMMYFUNCTION("""COMPUTED_VALUE"""),"RISING FALCON")</f>
        <v>RISING FALCON</v>
      </c>
      <c r="D645" s="5">
        <f>IFERROR(__xludf.DUMMYFUNCTION("""COMPUTED_VALUE"""),9105396.0)</f>
        <v>9105396</v>
      </c>
      <c r="E645" s="5" t="str">
        <f>IFERROR(__xludf.DUMMYFUNCTION("""COMPUTED_VALUE"""),"Chornomorsk")</f>
        <v>Chornomorsk</v>
      </c>
      <c r="F645" s="5" t="str">
        <f>IFERROR(__xludf.DUMMYFUNCTION("""COMPUTED_VALUE"""),"Italy")</f>
        <v>Italy</v>
      </c>
      <c r="G645" s="5" t="str">
        <f>IFERROR(__xludf.DUMMYFUNCTION("""COMPUTED_VALUE"""),"Wheat")</f>
        <v>Wheat</v>
      </c>
      <c r="H645" s="6">
        <f>IFERROR(__xludf.DUMMYFUNCTION("""COMPUTED_VALUE"""),26200.0)</f>
        <v>26200</v>
      </c>
      <c r="I645" s="7">
        <f>IFERROR(__xludf.DUMMYFUNCTION("""COMPUTED_VALUE"""),44878.0)</f>
        <v>44878</v>
      </c>
      <c r="J645" s="7">
        <f>IFERROR(__xludf.DUMMYFUNCTION("""COMPUTED_VALUE"""),44889.0)</f>
        <v>44889</v>
      </c>
      <c r="K645" s="5" t="str">
        <f>IFERROR(__xludf.DUMMYFUNCTION("""COMPUTED_VALUE"""),"high-income")</f>
        <v>high-income</v>
      </c>
      <c r="L645" s="5" t="str">
        <f>IFERROR(__xludf.DUMMYFUNCTION("""COMPUTED_VALUE"""),"St. Vincent and the Grenadines")</f>
        <v>St. Vincent and the Grenadines</v>
      </c>
      <c r="M645" s="5" t="str">
        <f>IFERROR(__xludf.DUMMYFUNCTION("""COMPUTED_VALUE"""),"Europe &amp; Central Asia")</f>
        <v>Europe &amp; Central Asia</v>
      </c>
      <c r="N645" s="5" t="str">
        <f>IFERROR(__xludf.DUMMYFUNCTION("""COMPUTED_VALUE"""),"Western Europe and Others")</f>
        <v>Western Europe and Others</v>
      </c>
      <c r="O645" s="5" t="str">
        <f>IFERROR(__xludf.DUMMYFUNCTION("""COMPUTED_VALUE"""),"developed")</f>
        <v>developed</v>
      </c>
      <c r="P645" s="5"/>
      <c r="Q645" s="5"/>
    </row>
    <row r="646">
      <c r="A646" s="5" t="str">
        <f>IFERROR(__xludf.DUMMYFUNCTION("""COMPUTED_VALUE"""),"Outbound")</f>
        <v>Outbound</v>
      </c>
      <c r="B646" s="5">
        <f>IFERROR(__xludf.DUMMYFUNCTION("""COMPUTED_VALUE"""),449.0)</f>
        <v>449</v>
      </c>
      <c r="C646" s="5" t="str">
        <f>IFERROR(__xludf.DUMMYFUNCTION("""COMPUTED_VALUE"""),"PS PELICAN")</f>
        <v>PS PELICAN</v>
      </c>
      <c r="D646" s="5">
        <f>IFERROR(__xludf.DUMMYFUNCTION("""COMPUTED_VALUE"""),9316593.0)</f>
        <v>9316593</v>
      </c>
      <c r="E646" s="5" t="str">
        <f>IFERROR(__xludf.DUMMYFUNCTION("""COMPUTED_VALUE"""),"Yuzhny/Pivdennyi")</f>
        <v>Yuzhny/Pivdennyi</v>
      </c>
      <c r="F646" s="5" t="str">
        <f>IFERROR(__xludf.DUMMYFUNCTION("""COMPUTED_VALUE"""),"China")</f>
        <v>China</v>
      </c>
      <c r="G646" s="5" t="str">
        <f>IFERROR(__xludf.DUMMYFUNCTION("""COMPUTED_VALUE"""),"Sunflower oil")</f>
        <v>Sunflower oil</v>
      </c>
      <c r="H646" s="6">
        <f>IFERROR(__xludf.DUMMYFUNCTION("""COMPUTED_VALUE"""),37000.0)</f>
        <v>37000</v>
      </c>
      <c r="I646" s="7">
        <f>IFERROR(__xludf.DUMMYFUNCTION("""COMPUTED_VALUE"""),44878.0)</f>
        <v>44878</v>
      </c>
      <c r="J646" s="7">
        <f>IFERROR(__xludf.DUMMYFUNCTION("""COMPUTED_VALUE"""),44880.0)</f>
        <v>44880</v>
      </c>
      <c r="K646" s="5" t="str">
        <f>IFERROR(__xludf.DUMMYFUNCTION("""COMPUTED_VALUE"""),"upper-middle-income")</f>
        <v>upper-middle-income</v>
      </c>
      <c r="L646" s="5" t="str">
        <f>IFERROR(__xludf.DUMMYFUNCTION("""COMPUTED_VALUE"""),"Panama")</f>
        <v>Panama</v>
      </c>
      <c r="M646" s="5" t="str">
        <f>IFERROR(__xludf.DUMMYFUNCTION("""COMPUTED_VALUE"""),"East Asia &amp; Pacific")</f>
        <v>East Asia &amp; Pacific</v>
      </c>
      <c r="N646" s="5" t="str">
        <f>IFERROR(__xludf.DUMMYFUNCTION("""COMPUTED_VALUE"""),"Asia-Pacific")</f>
        <v>Asia-Pacific</v>
      </c>
      <c r="O646" s="5" t="str">
        <f>IFERROR(__xludf.DUMMYFUNCTION("""COMPUTED_VALUE"""),"developing")</f>
        <v>developing</v>
      </c>
      <c r="P646" s="5"/>
      <c r="Q646" s="5"/>
    </row>
    <row r="647">
      <c r="A647" s="5" t="str">
        <f>IFERROR(__xludf.DUMMYFUNCTION("""COMPUTED_VALUE"""),"Outbound")</f>
        <v>Outbound</v>
      </c>
      <c r="B647" s="5">
        <f>IFERROR(__xludf.DUMMYFUNCTION("""COMPUTED_VALUE"""),448.0)</f>
        <v>448</v>
      </c>
      <c r="C647" s="5" t="str">
        <f>IFERROR(__xludf.DUMMYFUNCTION("""COMPUTED_VALUE"""),"LADY SEMA")</f>
        <v>LADY SEMA</v>
      </c>
      <c r="D647" s="5">
        <f>IFERROR(__xludf.DUMMYFUNCTION("""COMPUTED_VALUE"""),9233624.0)</f>
        <v>9233624</v>
      </c>
      <c r="E647" s="5" t="str">
        <f>IFERROR(__xludf.DUMMYFUNCTION("""COMPUTED_VALUE"""),"Odesa")</f>
        <v>Odesa</v>
      </c>
      <c r="F647" s="5" t="str">
        <f>IFERROR(__xludf.DUMMYFUNCTION("""COMPUTED_VALUE"""),"Spain")</f>
        <v>Spain</v>
      </c>
      <c r="G647" s="5" t="str">
        <f>IFERROR(__xludf.DUMMYFUNCTION("""COMPUTED_VALUE"""),"Sunflower seed")</f>
        <v>Sunflower seed</v>
      </c>
      <c r="H647" s="6">
        <f>IFERROR(__xludf.DUMMYFUNCTION("""COMPUTED_VALUE"""),8600.0)</f>
        <v>8600</v>
      </c>
      <c r="I647" s="7">
        <f>IFERROR(__xludf.DUMMYFUNCTION("""COMPUTED_VALUE"""),44878.0)</f>
        <v>44878</v>
      </c>
      <c r="J647" s="7">
        <f>IFERROR(__xludf.DUMMYFUNCTION("""COMPUTED_VALUE"""),44880.0)</f>
        <v>44880</v>
      </c>
      <c r="K647" s="5" t="str">
        <f>IFERROR(__xludf.DUMMYFUNCTION("""COMPUTED_VALUE"""),"high-income")</f>
        <v>high-income</v>
      </c>
      <c r="L647" s="5" t="str">
        <f>IFERROR(__xludf.DUMMYFUNCTION("""COMPUTED_VALUE"""),"Panama")</f>
        <v>Panama</v>
      </c>
      <c r="M647" s="5" t="str">
        <f>IFERROR(__xludf.DUMMYFUNCTION("""COMPUTED_VALUE"""),"Europe &amp; Central Asia")</f>
        <v>Europe &amp; Central Asia</v>
      </c>
      <c r="N647" s="5" t="str">
        <f>IFERROR(__xludf.DUMMYFUNCTION("""COMPUTED_VALUE"""),"Western Europe and Others")</f>
        <v>Western Europe and Others</v>
      </c>
      <c r="O647" s="5" t="str">
        <f>IFERROR(__xludf.DUMMYFUNCTION("""COMPUTED_VALUE"""),"developed")</f>
        <v>developed</v>
      </c>
      <c r="P647" s="5"/>
      <c r="Q647" s="5"/>
    </row>
    <row r="648">
      <c r="A648" s="5" t="str">
        <f>IFERROR(__xludf.DUMMYFUNCTION("""COMPUTED_VALUE"""),"Outbound")</f>
        <v>Outbound</v>
      </c>
      <c r="B648" s="5">
        <f>IFERROR(__xludf.DUMMYFUNCTION("""COMPUTED_VALUE"""),447.0)</f>
        <v>447</v>
      </c>
      <c r="C648" s="5" t="str">
        <f>IFERROR(__xludf.DUMMYFUNCTION("""COMPUTED_VALUE"""),"CEBIHAN")</f>
        <v>CEBIHAN</v>
      </c>
      <c r="D648" s="5">
        <f>IFERROR(__xludf.DUMMYFUNCTION("""COMPUTED_VALUE"""),9504308.0)</f>
        <v>9504308</v>
      </c>
      <c r="E648" s="5" t="str">
        <f>IFERROR(__xludf.DUMMYFUNCTION("""COMPUTED_VALUE"""),"Chornomorsk")</f>
        <v>Chornomorsk</v>
      </c>
      <c r="F648" s="5" t="str">
        <f>IFERROR(__xludf.DUMMYFUNCTION("""COMPUTED_VALUE"""),"Oman")</f>
        <v>Oman</v>
      </c>
      <c r="G648" s="5" t="str">
        <f>IFERROR(__xludf.DUMMYFUNCTION("""COMPUTED_VALUE"""),"Wheat")</f>
        <v>Wheat</v>
      </c>
      <c r="H648" s="6">
        <f>IFERROR(__xludf.DUMMYFUNCTION("""COMPUTED_VALUE"""),54250.0)</f>
        <v>54250</v>
      </c>
      <c r="I648" s="7">
        <f>IFERROR(__xludf.DUMMYFUNCTION("""COMPUTED_VALUE"""),44878.0)</f>
        <v>44878</v>
      </c>
      <c r="J648" s="7">
        <f>IFERROR(__xludf.DUMMYFUNCTION("""COMPUTED_VALUE"""),44890.0)</f>
        <v>44890</v>
      </c>
      <c r="K648" s="5" t="str">
        <f>IFERROR(__xludf.DUMMYFUNCTION("""COMPUTED_VALUE"""),"high-income")</f>
        <v>high-income</v>
      </c>
      <c r="L648" s="5" t="str">
        <f>IFERROR(__xludf.DUMMYFUNCTION("""COMPUTED_VALUE"""),"Portugal")</f>
        <v>Portugal</v>
      </c>
      <c r="M648" s="5" t="str">
        <f>IFERROR(__xludf.DUMMYFUNCTION("""COMPUTED_VALUE"""),"Middle East &amp; North Africa")</f>
        <v>Middle East &amp; North Africa</v>
      </c>
      <c r="N648" s="5" t="str">
        <f>IFERROR(__xludf.DUMMYFUNCTION("""COMPUTED_VALUE"""),"Asia-Pacific")</f>
        <v>Asia-Pacific</v>
      </c>
      <c r="O648" s="5" t="str">
        <f>IFERROR(__xludf.DUMMYFUNCTION("""COMPUTED_VALUE"""),"developing")</f>
        <v>developing</v>
      </c>
      <c r="P648" s="5"/>
      <c r="Q648" s="5"/>
    </row>
    <row r="649">
      <c r="A649" s="5" t="str">
        <f>IFERROR(__xludf.DUMMYFUNCTION("""COMPUTED_VALUE"""),"Outbound")</f>
        <v>Outbound</v>
      </c>
      <c r="B649" s="5">
        <f>IFERROR(__xludf.DUMMYFUNCTION("""COMPUTED_VALUE"""),446.0)</f>
        <v>446</v>
      </c>
      <c r="C649" s="5" t="str">
        <f>IFERROR(__xludf.DUMMYFUNCTION("""COMPUTED_VALUE"""),"BESIKTAS ICELAND")</f>
        <v>BESIKTAS ICELAND</v>
      </c>
      <c r="D649" s="5">
        <f>IFERROR(__xludf.DUMMYFUNCTION("""COMPUTED_VALUE"""),9395367.0)</f>
        <v>9395367</v>
      </c>
      <c r="E649" s="5" t="str">
        <f>IFERROR(__xludf.DUMMYFUNCTION("""COMPUTED_VALUE"""),"Yuzhny/Pivdennyi")</f>
        <v>Yuzhny/Pivdennyi</v>
      </c>
      <c r="F649" s="5" t="str">
        <f>IFERROR(__xludf.DUMMYFUNCTION("""COMPUTED_VALUE"""),"The Netherlands")</f>
        <v>The Netherlands</v>
      </c>
      <c r="G649" s="5" t="str">
        <f>IFERROR(__xludf.DUMMYFUNCTION("""COMPUTED_VALUE"""),"Sunflower oil")</f>
        <v>Sunflower oil</v>
      </c>
      <c r="H649" s="6">
        <f>IFERROR(__xludf.DUMMYFUNCTION("""COMPUTED_VALUE"""),6600.0)</f>
        <v>6600</v>
      </c>
      <c r="I649" s="7">
        <f>IFERROR(__xludf.DUMMYFUNCTION("""COMPUTED_VALUE"""),44878.0)</f>
        <v>44878</v>
      </c>
      <c r="J649" s="7">
        <f>IFERROR(__xludf.DUMMYFUNCTION("""COMPUTED_VALUE"""),44880.0)</f>
        <v>44880</v>
      </c>
      <c r="K649" s="5" t="str">
        <f>IFERROR(__xludf.DUMMYFUNCTION("""COMPUTED_VALUE"""),"high-income")</f>
        <v>high-income</v>
      </c>
      <c r="L649" s="5" t="str">
        <f>IFERROR(__xludf.DUMMYFUNCTION("""COMPUTED_VALUE"""),"Malta")</f>
        <v>Malta</v>
      </c>
      <c r="M649" s="5" t="str">
        <f>IFERROR(__xludf.DUMMYFUNCTION("""COMPUTED_VALUE"""),"Europe &amp; Central Asia")</f>
        <v>Europe &amp; Central Asia</v>
      </c>
      <c r="N649" s="5" t="str">
        <f>IFERROR(__xludf.DUMMYFUNCTION("""COMPUTED_VALUE"""),"Western Europe and Others")</f>
        <v>Western Europe and Others</v>
      </c>
      <c r="O649" s="5" t="str">
        <f>IFERROR(__xludf.DUMMYFUNCTION("""COMPUTED_VALUE"""),"developed")</f>
        <v>developed</v>
      </c>
      <c r="P649" s="5"/>
      <c r="Q649" s="5"/>
    </row>
    <row r="650">
      <c r="A650" s="5" t="str">
        <f>IFERROR(__xludf.DUMMYFUNCTION("""COMPUTED_VALUE"""),"Outbound")</f>
        <v>Outbound</v>
      </c>
      <c r="B650" s="5">
        <f>IFERROR(__xludf.DUMMYFUNCTION("""COMPUTED_VALUE"""),445.0)</f>
        <v>445</v>
      </c>
      <c r="C650" s="5" t="str">
        <f>IFERROR(__xludf.DUMMYFUNCTION("""COMPUTED_VALUE"""),"BELFOREST")</f>
        <v>BELFOREST</v>
      </c>
      <c r="D650" s="5">
        <f>IFERROR(__xludf.DUMMYFUNCTION("""COMPUTED_VALUE"""),9698185.0)</f>
        <v>9698185</v>
      </c>
      <c r="E650" s="5" t="str">
        <f>IFERROR(__xludf.DUMMYFUNCTION("""COMPUTED_VALUE"""),"Chornomorsk")</f>
        <v>Chornomorsk</v>
      </c>
      <c r="F650" s="5" t="str">
        <f>IFERROR(__xludf.DUMMYFUNCTION("""COMPUTED_VALUE"""),"Spain")</f>
        <v>Spain</v>
      </c>
      <c r="G650" s="5" t="str">
        <f>IFERROR(__xludf.DUMMYFUNCTION("""COMPUTED_VALUE"""),"Barley")</f>
        <v>Barley</v>
      </c>
      <c r="H650" s="6">
        <f>IFERROR(__xludf.DUMMYFUNCTION("""COMPUTED_VALUE"""),22000.0)</f>
        <v>22000</v>
      </c>
      <c r="I650" s="7">
        <f>IFERROR(__xludf.DUMMYFUNCTION("""COMPUTED_VALUE"""),44878.0)</f>
        <v>44878</v>
      </c>
      <c r="J650" s="7">
        <f>IFERROR(__xludf.DUMMYFUNCTION("""COMPUTED_VALUE"""),44880.0)</f>
        <v>44880</v>
      </c>
      <c r="K650" s="5" t="str">
        <f>IFERROR(__xludf.DUMMYFUNCTION("""COMPUTED_VALUE"""),"high-income")</f>
        <v>high-income</v>
      </c>
      <c r="L650" s="5" t="str">
        <f>IFERROR(__xludf.DUMMYFUNCTION("""COMPUTED_VALUE"""),"Norway")</f>
        <v>Norway</v>
      </c>
      <c r="M650" s="5" t="str">
        <f>IFERROR(__xludf.DUMMYFUNCTION("""COMPUTED_VALUE"""),"Europe &amp; Central Asia")</f>
        <v>Europe &amp; Central Asia</v>
      </c>
      <c r="N650" s="5" t="str">
        <f>IFERROR(__xludf.DUMMYFUNCTION("""COMPUTED_VALUE"""),"Western Europe and Others")</f>
        <v>Western Europe and Others</v>
      </c>
      <c r="O650" s="5" t="str">
        <f>IFERROR(__xludf.DUMMYFUNCTION("""COMPUTED_VALUE"""),"developed")</f>
        <v>developed</v>
      </c>
      <c r="P650" s="5"/>
      <c r="Q650" s="5"/>
    </row>
    <row r="651">
      <c r="A651" s="5" t="str">
        <f>IFERROR(__xludf.DUMMYFUNCTION("""COMPUTED_VALUE"""),"Outbound +")</f>
        <v>Outbound +</v>
      </c>
      <c r="B651" s="5">
        <f>IFERROR(__xludf.DUMMYFUNCTION("""COMPUTED_VALUE"""),445.0)</f>
        <v>445</v>
      </c>
      <c r="C651" s="5" t="str">
        <f>IFERROR(__xludf.DUMMYFUNCTION("""COMPUTED_VALUE"""),"BELFOREST")</f>
        <v>BELFOREST</v>
      </c>
      <c r="D651" s="5">
        <f>IFERROR(__xludf.DUMMYFUNCTION("""COMPUTED_VALUE"""),9698185.0)</f>
        <v>9698185</v>
      </c>
      <c r="E651" s="5" t="str">
        <f>IFERROR(__xludf.DUMMYFUNCTION("""COMPUTED_VALUE"""),"Chornomorsk")</f>
        <v>Chornomorsk</v>
      </c>
      <c r="F651" s="5" t="str">
        <f>IFERROR(__xludf.DUMMYFUNCTION("""COMPUTED_VALUE"""),"Spain")</f>
        <v>Spain</v>
      </c>
      <c r="G651" s="5" t="str">
        <f>IFERROR(__xludf.DUMMYFUNCTION("""COMPUTED_VALUE"""),"Corn")</f>
        <v>Corn</v>
      </c>
      <c r="H651" s="6">
        <f>IFERROR(__xludf.DUMMYFUNCTION("""COMPUTED_VALUE"""),33000.0)</f>
        <v>33000</v>
      </c>
      <c r="I651" s="7">
        <f>IFERROR(__xludf.DUMMYFUNCTION("""COMPUTED_VALUE"""),44878.0)</f>
        <v>44878</v>
      </c>
      <c r="J651" s="7">
        <f>IFERROR(__xludf.DUMMYFUNCTION("""COMPUTED_VALUE"""),44880.0)</f>
        <v>44880</v>
      </c>
      <c r="K651" s="5" t="str">
        <f>IFERROR(__xludf.DUMMYFUNCTION("""COMPUTED_VALUE"""),"high-income")</f>
        <v>high-income</v>
      </c>
      <c r="L651" s="5" t="str">
        <f>IFERROR(__xludf.DUMMYFUNCTION("""COMPUTED_VALUE"""),"Norway")</f>
        <v>Norway</v>
      </c>
      <c r="M651" s="5" t="str">
        <f>IFERROR(__xludf.DUMMYFUNCTION("""COMPUTED_VALUE"""),"Europe &amp; Central Asia")</f>
        <v>Europe &amp; Central Asia</v>
      </c>
      <c r="N651" s="5" t="str">
        <f>IFERROR(__xludf.DUMMYFUNCTION("""COMPUTED_VALUE"""),"Western Europe and Others")</f>
        <v>Western Europe and Others</v>
      </c>
      <c r="O651" s="5" t="str">
        <f>IFERROR(__xludf.DUMMYFUNCTION("""COMPUTED_VALUE"""),"developed")</f>
        <v>developed</v>
      </c>
      <c r="P651" s="5"/>
      <c r="Q651" s="5"/>
    </row>
    <row r="652">
      <c r="A652" s="5" t="str">
        <f>IFERROR(__xludf.DUMMYFUNCTION("""COMPUTED_VALUE"""),"Outbound")</f>
        <v>Outbound</v>
      </c>
      <c r="B652" s="5">
        <f>IFERROR(__xludf.DUMMYFUNCTION("""COMPUTED_VALUE"""),444.0)</f>
        <v>444</v>
      </c>
      <c r="C652" s="5" t="str">
        <f>IFERROR(__xludf.DUMMYFUNCTION("""COMPUTED_VALUE"""),"PROPUS")</f>
        <v>PROPUS</v>
      </c>
      <c r="D652" s="5">
        <f>IFERROR(__xludf.DUMMYFUNCTION("""COMPUTED_VALUE"""),9133757.0)</f>
        <v>9133757</v>
      </c>
      <c r="E652" s="5" t="str">
        <f>IFERROR(__xludf.DUMMYFUNCTION("""COMPUTED_VALUE"""),"Chornomorsk")</f>
        <v>Chornomorsk</v>
      </c>
      <c r="F652" s="5" t="str">
        <f>IFERROR(__xludf.DUMMYFUNCTION("""COMPUTED_VALUE"""),"Türkiye")</f>
        <v>Türkiye</v>
      </c>
      <c r="G652" s="5" t="str">
        <f>IFERROR(__xludf.DUMMYFUNCTION("""COMPUTED_VALUE"""),"Sunflower seed")</f>
        <v>Sunflower seed</v>
      </c>
      <c r="H652" s="6">
        <f>IFERROR(__xludf.DUMMYFUNCTION("""COMPUTED_VALUE"""),4671.0)</f>
        <v>4671</v>
      </c>
      <c r="I652" s="7">
        <f>IFERROR(__xludf.DUMMYFUNCTION("""COMPUTED_VALUE"""),44877.0)</f>
        <v>44877</v>
      </c>
      <c r="J652" s="7">
        <f>IFERROR(__xludf.DUMMYFUNCTION("""COMPUTED_VALUE"""),44880.0)</f>
        <v>44880</v>
      </c>
      <c r="K652" s="5" t="str">
        <f>IFERROR(__xludf.DUMMYFUNCTION("""COMPUTED_VALUE"""),"upper-middle-income")</f>
        <v>upper-middle-income</v>
      </c>
      <c r="L652" s="5" t="str">
        <f>IFERROR(__xludf.DUMMYFUNCTION("""COMPUTED_VALUE"""),"Panama")</f>
        <v>Panama</v>
      </c>
      <c r="M652" s="5" t="str">
        <f>IFERROR(__xludf.DUMMYFUNCTION("""COMPUTED_VALUE"""),"Europe &amp; Central Asia")</f>
        <v>Europe &amp; Central Asia</v>
      </c>
      <c r="N652" s="5" t="str">
        <f>IFERROR(__xludf.DUMMYFUNCTION("""COMPUTED_VALUE"""),"Asia-Pacific")</f>
        <v>Asia-Pacific</v>
      </c>
      <c r="O652" s="5" t="str">
        <f>IFERROR(__xludf.DUMMYFUNCTION("""COMPUTED_VALUE"""),"developing")</f>
        <v>developing</v>
      </c>
      <c r="P652" s="5"/>
      <c r="Q652" s="5"/>
    </row>
    <row r="653">
      <c r="A653" s="5" t="str">
        <f>IFERROR(__xludf.DUMMYFUNCTION("""COMPUTED_VALUE"""),"Outbound")</f>
        <v>Outbound</v>
      </c>
      <c r="B653" s="5">
        <f>IFERROR(__xludf.DUMMYFUNCTION("""COMPUTED_VALUE"""),443.0)</f>
        <v>443</v>
      </c>
      <c r="C653" s="5" t="str">
        <f>IFERROR(__xludf.DUMMYFUNCTION("""COMPUTED_VALUE"""),"MED ATLANTIC")</f>
        <v>MED ATLANTIC</v>
      </c>
      <c r="D653" s="5">
        <f>IFERROR(__xludf.DUMMYFUNCTION("""COMPUTED_VALUE"""),9410533.0)</f>
        <v>9410533</v>
      </c>
      <c r="E653" s="5" t="str">
        <f>IFERROR(__xludf.DUMMYFUNCTION("""COMPUTED_VALUE"""),"Chornomorsk")</f>
        <v>Chornomorsk</v>
      </c>
      <c r="F653" s="5" t="str">
        <f>IFERROR(__xludf.DUMMYFUNCTION("""COMPUTED_VALUE"""),"China")</f>
        <v>China</v>
      </c>
      <c r="G653" s="5" t="str">
        <f>IFERROR(__xludf.DUMMYFUNCTION("""COMPUTED_VALUE"""),"Sunflower oil")</f>
        <v>Sunflower oil</v>
      </c>
      <c r="H653" s="6">
        <f>IFERROR(__xludf.DUMMYFUNCTION("""COMPUTED_VALUE"""),22500.0)</f>
        <v>22500</v>
      </c>
      <c r="I653" s="7">
        <f>IFERROR(__xludf.DUMMYFUNCTION("""COMPUTED_VALUE"""),44877.0)</f>
        <v>44877</v>
      </c>
      <c r="J653" s="7">
        <f>IFERROR(__xludf.DUMMYFUNCTION("""COMPUTED_VALUE"""),44879.0)</f>
        <v>44879</v>
      </c>
      <c r="K653" s="5" t="str">
        <f>IFERROR(__xludf.DUMMYFUNCTION("""COMPUTED_VALUE"""),"upper-middle-income")</f>
        <v>upper-middle-income</v>
      </c>
      <c r="L653" s="5" t="str">
        <f>IFERROR(__xludf.DUMMYFUNCTION("""COMPUTED_VALUE"""),"Malta")</f>
        <v>Malta</v>
      </c>
      <c r="M653" s="5" t="str">
        <f>IFERROR(__xludf.DUMMYFUNCTION("""COMPUTED_VALUE"""),"East Asia &amp; Pacific")</f>
        <v>East Asia &amp; Pacific</v>
      </c>
      <c r="N653" s="5" t="str">
        <f>IFERROR(__xludf.DUMMYFUNCTION("""COMPUTED_VALUE"""),"Asia-Pacific")</f>
        <v>Asia-Pacific</v>
      </c>
      <c r="O653" s="5" t="str">
        <f>IFERROR(__xludf.DUMMYFUNCTION("""COMPUTED_VALUE"""),"developing")</f>
        <v>developing</v>
      </c>
      <c r="P653" s="5"/>
      <c r="Q653" s="5"/>
    </row>
    <row r="654">
      <c r="A654" s="5" t="str">
        <f>IFERROR(__xludf.DUMMYFUNCTION("""COMPUTED_VALUE"""),"Outbound")</f>
        <v>Outbound</v>
      </c>
      <c r="B654" s="5">
        <f>IFERROR(__xludf.DUMMYFUNCTION("""COMPUTED_VALUE"""),442.0)</f>
        <v>442</v>
      </c>
      <c r="C654" s="5" t="str">
        <f>IFERROR(__xludf.DUMMYFUNCTION("""COMPUTED_VALUE"""),"TZAREVICH")</f>
        <v>TZAREVICH</v>
      </c>
      <c r="D654" s="5">
        <f>IFERROR(__xludf.DUMMYFUNCTION("""COMPUTED_VALUE"""),9145229.0)</f>
        <v>9145229</v>
      </c>
      <c r="E654" s="5" t="str">
        <f>IFERROR(__xludf.DUMMYFUNCTION("""COMPUTED_VALUE"""),"Chornomorsk")</f>
        <v>Chornomorsk</v>
      </c>
      <c r="F654" s="5" t="str">
        <f>IFERROR(__xludf.DUMMYFUNCTION("""COMPUTED_VALUE"""),"Türkiye")</f>
        <v>Türkiye</v>
      </c>
      <c r="G654" s="5" t="str">
        <f>IFERROR(__xludf.DUMMYFUNCTION("""COMPUTED_VALUE"""),"Wheat")</f>
        <v>Wheat</v>
      </c>
      <c r="H654" s="6">
        <f>IFERROR(__xludf.DUMMYFUNCTION("""COMPUTED_VALUE"""),19000.0)</f>
        <v>19000</v>
      </c>
      <c r="I654" s="7">
        <f>IFERROR(__xludf.DUMMYFUNCTION("""COMPUTED_VALUE"""),44876.0)</f>
        <v>44876</v>
      </c>
      <c r="J654" s="7">
        <f>IFERROR(__xludf.DUMMYFUNCTION("""COMPUTED_VALUE"""),44887.0)</f>
        <v>44887</v>
      </c>
      <c r="K654" s="5" t="str">
        <f>IFERROR(__xludf.DUMMYFUNCTION("""COMPUTED_VALUE"""),"upper-middle-income")</f>
        <v>upper-middle-income</v>
      </c>
      <c r="L654" s="5" t="str">
        <f>IFERROR(__xludf.DUMMYFUNCTION("""COMPUTED_VALUE"""),"Malta")</f>
        <v>Malta</v>
      </c>
      <c r="M654" s="5" t="str">
        <f>IFERROR(__xludf.DUMMYFUNCTION("""COMPUTED_VALUE"""),"Europe &amp; Central Asia")</f>
        <v>Europe &amp; Central Asia</v>
      </c>
      <c r="N654" s="5" t="str">
        <f>IFERROR(__xludf.DUMMYFUNCTION("""COMPUTED_VALUE"""),"Asia-Pacific")</f>
        <v>Asia-Pacific</v>
      </c>
      <c r="O654" s="5" t="str">
        <f>IFERROR(__xludf.DUMMYFUNCTION("""COMPUTED_VALUE"""),"developing")</f>
        <v>developing</v>
      </c>
      <c r="P654" s="5"/>
      <c r="Q654" s="5"/>
    </row>
    <row r="655">
      <c r="A655" s="5" t="str">
        <f>IFERROR(__xludf.DUMMYFUNCTION("""COMPUTED_VALUE"""),"Outbound")</f>
        <v>Outbound</v>
      </c>
      <c r="B655" s="5">
        <f>IFERROR(__xludf.DUMMYFUNCTION("""COMPUTED_VALUE"""),441.0)</f>
        <v>441</v>
      </c>
      <c r="C655" s="5" t="str">
        <f>IFERROR(__xludf.DUMMYFUNCTION("""COMPUTED_VALUE"""),"NESTOR S")</f>
        <v>NESTOR S</v>
      </c>
      <c r="D655" s="5">
        <f>IFERROR(__xludf.DUMMYFUNCTION("""COMPUTED_VALUE"""),9473341.0)</f>
        <v>9473341</v>
      </c>
      <c r="E655" s="5" t="str">
        <f>IFERROR(__xludf.DUMMYFUNCTION("""COMPUTED_VALUE"""),"Chornomorsk")</f>
        <v>Chornomorsk</v>
      </c>
      <c r="F655" s="5" t="str">
        <f>IFERROR(__xludf.DUMMYFUNCTION("""COMPUTED_VALUE"""),"China")</f>
        <v>China</v>
      </c>
      <c r="G655" s="5" t="str">
        <f>IFERROR(__xludf.DUMMYFUNCTION("""COMPUTED_VALUE"""),"Corn")</f>
        <v>Corn</v>
      </c>
      <c r="H655" s="6">
        <f>IFERROR(__xludf.DUMMYFUNCTION("""COMPUTED_VALUE"""),62900.0)</f>
        <v>62900</v>
      </c>
      <c r="I655" s="7">
        <f>IFERROR(__xludf.DUMMYFUNCTION("""COMPUTED_VALUE"""),44876.0)</f>
        <v>44876</v>
      </c>
      <c r="J655" s="7">
        <f>IFERROR(__xludf.DUMMYFUNCTION("""COMPUTED_VALUE"""),44878.0)</f>
        <v>44878</v>
      </c>
      <c r="K655" s="5" t="str">
        <f>IFERROR(__xludf.DUMMYFUNCTION("""COMPUTED_VALUE"""),"upper-middle-income")</f>
        <v>upper-middle-income</v>
      </c>
      <c r="L655" s="5" t="str">
        <f>IFERROR(__xludf.DUMMYFUNCTION("""COMPUTED_VALUE"""),"Liberia")</f>
        <v>Liberia</v>
      </c>
      <c r="M655" s="5" t="str">
        <f>IFERROR(__xludf.DUMMYFUNCTION("""COMPUTED_VALUE"""),"East Asia &amp; Pacific")</f>
        <v>East Asia &amp; Pacific</v>
      </c>
      <c r="N655" s="5" t="str">
        <f>IFERROR(__xludf.DUMMYFUNCTION("""COMPUTED_VALUE"""),"Asia-Pacific")</f>
        <v>Asia-Pacific</v>
      </c>
      <c r="O655" s="5" t="str">
        <f>IFERROR(__xludf.DUMMYFUNCTION("""COMPUTED_VALUE"""),"developing")</f>
        <v>developing</v>
      </c>
      <c r="P655" s="5"/>
      <c r="Q655" s="5"/>
    </row>
    <row r="656">
      <c r="A656" s="5" t="str">
        <f>IFERROR(__xludf.DUMMYFUNCTION("""COMPUTED_VALUE"""),"Outbound")</f>
        <v>Outbound</v>
      </c>
      <c r="B656" s="5">
        <f>IFERROR(__xludf.DUMMYFUNCTION("""COMPUTED_VALUE"""),440.0)</f>
        <v>440</v>
      </c>
      <c r="C656" s="5" t="str">
        <f>IFERROR(__xludf.DUMMYFUNCTION("""COMPUTED_VALUE"""),"MOHAMAD M")</f>
        <v>MOHAMAD M</v>
      </c>
      <c r="D656" s="5">
        <f>IFERROR(__xludf.DUMMYFUNCTION("""COMPUTED_VALUE"""),9141235.0)</f>
        <v>9141235</v>
      </c>
      <c r="E656" s="5" t="str">
        <f>IFERROR(__xludf.DUMMYFUNCTION("""COMPUTED_VALUE"""),"Odesa")</f>
        <v>Odesa</v>
      </c>
      <c r="F656" s="5" t="str">
        <f>IFERROR(__xludf.DUMMYFUNCTION("""COMPUTED_VALUE"""),"Italy")</f>
        <v>Italy</v>
      </c>
      <c r="G656" s="5" t="str">
        <f>IFERROR(__xludf.DUMMYFUNCTION("""COMPUTED_VALUE"""),"Corn")</f>
        <v>Corn</v>
      </c>
      <c r="H656" s="6">
        <f>IFERROR(__xludf.DUMMYFUNCTION("""COMPUTED_VALUE"""),23500.0)</f>
        <v>23500</v>
      </c>
      <c r="I656" s="7">
        <f>IFERROR(__xludf.DUMMYFUNCTION("""COMPUTED_VALUE"""),44876.0)</f>
        <v>44876</v>
      </c>
      <c r="J656" s="7">
        <f>IFERROR(__xludf.DUMMYFUNCTION("""COMPUTED_VALUE"""),44890.0)</f>
        <v>44890</v>
      </c>
      <c r="K656" s="5" t="str">
        <f>IFERROR(__xludf.DUMMYFUNCTION("""COMPUTED_VALUE"""),"high-income")</f>
        <v>high-income</v>
      </c>
      <c r="L656" s="5" t="str">
        <f>IFERROR(__xludf.DUMMYFUNCTION("""COMPUTED_VALUE"""),"Cook Islands")</f>
        <v>Cook Islands</v>
      </c>
      <c r="M656" s="5" t="str">
        <f>IFERROR(__xludf.DUMMYFUNCTION("""COMPUTED_VALUE"""),"Europe &amp; Central Asia")</f>
        <v>Europe &amp; Central Asia</v>
      </c>
      <c r="N656" s="5" t="str">
        <f>IFERROR(__xludf.DUMMYFUNCTION("""COMPUTED_VALUE"""),"Western Europe and Others")</f>
        <v>Western Europe and Others</v>
      </c>
      <c r="O656" s="5" t="str">
        <f>IFERROR(__xludf.DUMMYFUNCTION("""COMPUTED_VALUE"""),"developed")</f>
        <v>developed</v>
      </c>
      <c r="P656" s="5"/>
      <c r="Q656" s="5"/>
    </row>
    <row r="657">
      <c r="A657" s="5" t="str">
        <f>IFERROR(__xludf.DUMMYFUNCTION("""COMPUTED_VALUE"""),"Outbound")</f>
        <v>Outbound</v>
      </c>
      <c r="B657" s="5">
        <f>IFERROR(__xludf.DUMMYFUNCTION("""COMPUTED_VALUE"""),439.0)</f>
        <v>439</v>
      </c>
      <c r="C657" s="5" t="str">
        <f>IFERROR(__xludf.DUMMYFUNCTION("""COMPUTED_VALUE"""),"GANNET S")</f>
        <v>GANNET S</v>
      </c>
      <c r="D657" s="5">
        <f>IFERROR(__xludf.DUMMYFUNCTION("""COMPUTED_VALUE"""),9316995.0)</f>
        <v>9316995</v>
      </c>
      <c r="E657" s="5" t="str">
        <f>IFERROR(__xludf.DUMMYFUNCTION("""COMPUTED_VALUE"""),"Yuzhny/Pivdennyi")</f>
        <v>Yuzhny/Pivdennyi</v>
      </c>
      <c r="F657" s="5" t="str">
        <f>IFERROR(__xludf.DUMMYFUNCTION("""COMPUTED_VALUE"""),"Türkiye")</f>
        <v>Türkiye</v>
      </c>
      <c r="G657" s="5" t="str">
        <f>IFERROR(__xludf.DUMMYFUNCTION("""COMPUTED_VALUE"""),"Corn")</f>
        <v>Corn</v>
      </c>
      <c r="H657" s="6">
        <f>IFERROR(__xludf.DUMMYFUNCTION("""COMPUTED_VALUE"""),14750.0)</f>
        <v>14750</v>
      </c>
      <c r="I657" s="7">
        <f>IFERROR(__xludf.DUMMYFUNCTION("""COMPUTED_VALUE"""),44876.0)</f>
        <v>44876</v>
      </c>
      <c r="J657" s="7">
        <f>IFERROR(__xludf.DUMMYFUNCTION("""COMPUTED_VALUE"""),44891.0)</f>
        <v>44891</v>
      </c>
      <c r="K657" s="5" t="str">
        <f>IFERROR(__xludf.DUMMYFUNCTION("""COMPUTED_VALUE"""),"upper-middle-income")</f>
        <v>upper-middle-income</v>
      </c>
      <c r="L657" s="5" t="str">
        <f>IFERROR(__xludf.DUMMYFUNCTION("""COMPUTED_VALUE"""),"Liberia")</f>
        <v>Liberia</v>
      </c>
      <c r="M657" s="5" t="str">
        <f>IFERROR(__xludf.DUMMYFUNCTION("""COMPUTED_VALUE"""),"Europe &amp; Central Asia")</f>
        <v>Europe &amp; Central Asia</v>
      </c>
      <c r="N657" s="5" t="str">
        <f>IFERROR(__xludf.DUMMYFUNCTION("""COMPUTED_VALUE"""),"Asia-Pacific")</f>
        <v>Asia-Pacific</v>
      </c>
      <c r="O657" s="5" t="str">
        <f>IFERROR(__xludf.DUMMYFUNCTION("""COMPUTED_VALUE"""),"developing")</f>
        <v>developing</v>
      </c>
      <c r="P657" s="5"/>
      <c r="Q657" s="5"/>
    </row>
    <row r="658">
      <c r="A658" s="5" t="str">
        <f>IFERROR(__xludf.DUMMYFUNCTION("""COMPUTED_VALUE"""),"Outbound")</f>
        <v>Outbound</v>
      </c>
      <c r="B658" s="5">
        <f>IFERROR(__xludf.DUMMYFUNCTION("""COMPUTED_VALUE"""),438.0)</f>
        <v>438</v>
      </c>
      <c r="C658" s="5" t="str">
        <f>IFERROR(__xludf.DUMMYFUNCTION("""COMPUTED_VALUE"""),"SALLY M")</f>
        <v>SALLY M</v>
      </c>
      <c r="D658" s="5">
        <f>IFERROR(__xludf.DUMMYFUNCTION("""COMPUTED_VALUE"""),9152844.0)</f>
        <v>9152844</v>
      </c>
      <c r="E658" s="5" t="str">
        <f>IFERROR(__xludf.DUMMYFUNCTION("""COMPUTED_VALUE"""),"Odesa")</f>
        <v>Odesa</v>
      </c>
      <c r="F658" s="5" t="str">
        <f>IFERROR(__xludf.DUMMYFUNCTION("""COMPUTED_VALUE"""),"Lebanon")</f>
        <v>Lebanon</v>
      </c>
      <c r="G658" s="5" t="str">
        <f>IFERROR(__xludf.DUMMYFUNCTION("""COMPUTED_VALUE"""),"Soya beans")</f>
        <v>Soya beans</v>
      </c>
      <c r="H658" s="6">
        <f>IFERROR(__xludf.DUMMYFUNCTION("""COMPUTED_VALUE"""),6850.0)</f>
        <v>6850</v>
      </c>
      <c r="I658" s="7">
        <f>IFERROR(__xludf.DUMMYFUNCTION("""COMPUTED_VALUE"""),44875.0)</f>
        <v>44875</v>
      </c>
      <c r="J658" s="7">
        <f>IFERROR(__xludf.DUMMYFUNCTION("""COMPUTED_VALUE"""),44885.0)</f>
        <v>44885</v>
      </c>
      <c r="K658" s="5" t="str">
        <f>IFERROR(__xludf.DUMMYFUNCTION("""COMPUTED_VALUE"""),"lower-middle income")</f>
        <v>lower-middle income</v>
      </c>
      <c r="L658" s="5" t="str">
        <f>IFERROR(__xludf.DUMMYFUNCTION("""COMPUTED_VALUE"""),"Panama")</f>
        <v>Panama</v>
      </c>
      <c r="M658" s="5" t="str">
        <f>IFERROR(__xludf.DUMMYFUNCTION("""COMPUTED_VALUE"""),"Middle East &amp; North Africa")</f>
        <v>Middle East &amp; North Africa</v>
      </c>
      <c r="N658" s="5" t="str">
        <f>IFERROR(__xludf.DUMMYFUNCTION("""COMPUTED_VALUE"""),"Asia-Pacific")</f>
        <v>Asia-Pacific</v>
      </c>
      <c r="O658" s="5" t="str">
        <f>IFERROR(__xludf.DUMMYFUNCTION("""COMPUTED_VALUE"""),"developing")</f>
        <v>developing</v>
      </c>
      <c r="P658" s="5"/>
      <c r="Q658" s="5"/>
    </row>
    <row r="659">
      <c r="A659" s="5" t="str">
        <f>IFERROR(__xludf.DUMMYFUNCTION("""COMPUTED_VALUE"""),"Outbound")</f>
        <v>Outbound</v>
      </c>
      <c r="B659" s="5">
        <f>IFERROR(__xludf.DUMMYFUNCTION("""COMPUTED_VALUE"""),437.0)</f>
        <v>437</v>
      </c>
      <c r="C659" s="5" t="str">
        <f>IFERROR(__xludf.DUMMYFUNCTION("""COMPUTED_VALUE"""),"BRAVE LEADER")</f>
        <v>BRAVE LEADER</v>
      </c>
      <c r="D659" s="5">
        <f>IFERROR(__xludf.DUMMYFUNCTION("""COMPUTED_VALUE"""),9033505.0)</f>
        <v>9033505</v>
      </c>
      <c r="E659" s="5" t="str">
        <f>IFERROR(__xludf.DUMMYFUNCTION("""COMPUTED_VALUE"""),"Yuzhny/Pivdennyi")</f>
        <v>Yuzhny/Pivdennyi</v>
      </c>
      <c r="F659" s="5" t="str">
        <f>IFERROR(__xludf.DUMMYFUNCTION("""COMPUTED_VALUE"""),"Tunisia")</f>
        <v>Tunisia</v>
      </c>
      <c r="G659" s="5" t="str">
        <f>IFERROR(__xludf.DUMMYFUNCTION("""COMPUTED_VALUE"""),"Wheat")</f>
        <v>Wheat</v>
      </c>
      <c r="H659" s="6">
        <f>IFERROR(__xludf.DUMMYFUNCTION("""COMPUTED_VALUE"""),21600.0)</f>
        <v>21600</v>
      </c>
      <c r="I659" s="7">
        <f>IFERROR(__xludf.DUMMYFUNCTION("""COMPUTED_VALUE"""),44875.0)</f>
        <v>44875</v>
      </c>
      <c r="J659" s="7">
        <f>IFERROR(__xludf.DUMMYFUNCTION("""COMPUTED_VALUE"""),44877.0)</f>
        <v>44877</v>
      </c>
      <c r="K659" s="5" t="str">
        <f>IFERROR(__xludf.DUMMYFUNCTION("""COMPUTED_VALUE"""),"lower-middle income")</f>
        <v>lower-middle income</v>
      </c>
      <c r="L659" s="5" t="str">
        <f>IFERROR(__xludf.DUMMYFUNCTION("""COMPUTED_VALUE"""),"Lebanon")</f>
        <v>Lebanon</v>
      </c>
      <c r="M659" s="5" t="str">
        <f>IFERROR(__xludf.DUMMYFUNCTION("""COMPUTED_VALUE"""),"Middle East &amp; North Africa")</f>
        <v>Middle East &amp; North Africa</v>
      </c>
      <c r="N659" s="5" t="str">
        <f>IFERROR(__xludf.DUMMYFUNCTION("""COMPUTED_VALUE"""),"Africa")</f>
        <v>Africa</v>
      </c>
      <c r="O659" s="5" t="str">
        <f>IFERROR(__xludf.DUMMYFUNCTION("""COMPUTED_VALUE"""),"developing")</f>
        <v>developing</v>
      </c>
      <c r="P659" s="5"/>
      <c r="Q659" s="5"/>
    </row>
    <row r="660">
      <c r="A660" s="5" t="str">
        <f>IFERROR(__xludf.DUMMYFUNCTION("""COMPUTED_VALUE"""),"Outbound")</f>
        <v>Outbound</v>
      </c>
      <c r="B660" s="5">
        <f>IFERROR(__xludf.DUMMYFUNCTION("""COMPUTED_VALUE"""),436.0)</f>
        <v>436</v>
      </c>
      <c r="C660" s="5" t="str">
        <f>IFERROR(__xludf.DUMMYFUNCTION("""COMPUTED_VALUE"""),"BAHAR K")</f>
        <v>BAHAR K</v>
      </c>
      <c r="D660" s="5">
        <f>IFERROR(__xludf.DUMMYFUNCTION("""COMPUTED_VALUE"""),8884555.0)</f>
        <v>8884555</v>
      </c>
      <c r="E660" s="5" t="str">
        <f>IFERROR(__xludf.DUMMYFUNCTION("""COMPUTED_VALUE"""),"Chornomorsk")</f>
        <v>Chornomorsk</v>
      </c>
      <c r="F660" s="5" t="str">
        <f>IFERROR(__xludf.DUMMYFUNCTION("""COMPUTED_VALUE"""),"Italy")</f>
        <v>Italy</v>
      </c>
      <c r="G660" s="5" t="str">
        <f>IFERROR(__xludf.DUMMYFUNCTION("""COMPUTED_VALUE"""),"Soya beans")</f>
        <v>Soya beans</v>
      </c>
      <c r="H660" s="6">
        <f>IFERROR(__xludf.DUMMYFUNCTION("""COMPUTED_VALUE"""),7900.0)</f>
        <v>7900</v>
      </c>
      <c r="I660" s="7">
        <f>IFERROR(__xludf.DUMMYFUNCTION("""COMPUTED_VALUE"""),44875.0)</f>
        <v>44875</v>
      </c>
      <c r="J660" s="7">
        <f>IFERROR(__xludf.DUMMYFUNCTION("""COMPUTED_VALUE"""),44880.0)</f>
        <v>44880</v>
      </c>
      <c r="K660" s="5" t="str">
        <f>IFERROR(__xludf.DUMMYFUNCTION("""COMPUTED_VALUE"""),"high-income")</f>
        <v>high-income</v>
      </c>
      <c r="L660" s="5" t="str">
        <f>IFERROR(__xludf.DUMMYFUNCTION("""COMPUTED_VALUE"""),"Vanuatu")</f>
        <v>Vanuatu</v>
      </c>
      <c r="M660" s="5" t="str">
        <f>IFERROR(__xludf.DUMMYFUNCTION("""COMPUTED_VALUE"""),"Europe &amp; Central Asia")</f>
        <v>Europe &amp; Central Asia</v>
      </c>
      <c r="N660" s="5" t="str">
        <f>IFERROR(__xludf.DUMMYFUNCTION("""COMPUTED_VALUE"""),"Western Europe and Others")</f>
        <v>Western Europe and Others</v>
      </c>
      <c r="O660" s="5" t="str">
        <f>IFERROR(__xludf.DUMMYFUNCTION("""COMPUTED_VALUE"""),"developed")</f>
        <v>developed</v>
      </c>
      <c r="P660" s="5"/>
      <c r="Q660" s="5"/>
    </row>
    <row r="661">
      <c r="A661" s="5" t="str">
        <f>IFERROR(__xludf.DUMMYFUNCTION("""COMPUTED_VALUE"""),"Outbound")</f>
        <v>Outbound</v>
      </c>
      <c r="B661" s="5">
        <f>IFERROR(__xludf.DUMMYFUNCTION("""COMPUTED_VALUE"""),435.0)</f>
        <v>435</v>
      </c>
      <c r="C661" s="5" t="str">
        <f>IFERROR(__xludf.DUMMYFUNCTION("""COMPUTED_VALUE"""),"BRAVE")</f>
        <v>BRAVE</v>
      </c>
      <c r="D661" s="5">
        <f>IFERROR(__xludf.DUMMYFUNCTION("""COMPUTED_VALUE"""),9242730.0)</f>
        <v>9242730</v>
      </c>
      <c r="E661" s="5" t="str">
        <f>IFERROR(__xludf.DUMMYFUNCTION("""COMPUTED_VALUE"""),"Odesa")</f>
        <v>Odesa</v>
      </c>
      <c r="F661" s="5" t="str">
        <f>IFERROR(__xludf.DUMMYFUNCTION("""COMPUTED_VALUE"""),"India")</f>
        <v>India</v>
      </c>
      <c r="G661" s="5" t="str">
        <f>IFERROR(__xludf.DUMMYFUNCTION("""COMPUTED_VALUE"""),"Sunflower oil")</f>
        <v>Sunflower oil</v>
      </c>
      <c r="H661" s="6">
        <f>IFERROR(__xludf.DUMMYFUNCTION("""COMPUTED_VALUE"""),6010.0)</f>
        <v>6010</v>
      </c>
      <c r="I661" s="7">
        <f>IFERROR(__xludf.DUMMYFUNCTION("""COMPUTED_VALUE"""),44874.0)</f>
        <v>44874</v>
      </c>
      <c r="J661" s="7">
        <f>IFERROR(__xludf.DUMMYFUNCTION("""COMPUTED_VALUE"""),44877.0)</f>
        <v>44877</v>
      </c>
      <c r="K661" s="5" t="str">
        <f>IFERROR(__xludf.DUMMYFUNCTION("""COMPUTED_VALUE"""),"lower-middle income")</f>
        <v>lower-middle income</v>
      </c>
      <c r="L661" s="5" t="str">
        <f>IFERROR(__xludf.DUMMYFUNCTION("""COMPUTED_VALUE"""),"Barbados")</f>
        <v>Barbados</v>
      </c>
      <c r="M661" s="5" t="str">
        <f>IFERROR(__xludf.DUMMYFUNCTION("""COMPUTED_VALUE"""),"South Asia")</f>
        <v>South Asia</v>
      </c>
      <c r="N661" s="5" t="str">
        <f>IFERROR(__xludf.DUMMYFUNCTION("""COMPUTED_VALUE"""),"Asia-Pacific")</f>
        <v>Asia-Pacific</v>
      </c>
      <c r="O661" s="5" t="str">
        <f>IFERROR(__xludf.DUMMYFUNCTION("""COMPUTED_VALUE"""),"developing")</f>
        <v>developing</v>
      </c>
      <c r="P661" s="5"/>
      <c r="Q661" s="5"/>
    </row>
    <row r="662">
      <c r="A662" s="5" t="str">
        <f>IFERROR(__xludf.DUMMYFUNCTION("""COMPUTED_VALUE"""),"Outbound")</f>
        <v>Outbound</v>
      </c>
      <c r="B662" s="5">
        <f>IFERROR(__xludf.DUMMYFUNCTION("""COMPUTED_VALUE"""),434.0)</f>
        <v>434</v>
      </c>
      <c r="C662" s="5" t="str">
        <f>IFERROR(__xludf.DUMMYFUNCTION("""COMPUTED_VALUE"""),"MAINLAND")</f>
        <v>MAINLAND</v>
      </c>
      <c r="D662" s="5">
        <f>IFERROR(__xludf.DUMMYFUNCTION("""COMPUTED_VALUE"""),9431056.0)</f>
        <v>9431056</v>
      </c>
      <c r="E662" s="5" t="str">
        <f>IFERROR(__xludf.DUMMYFUNCTION("""COMPUTED_VALUE"""),"Yuzhny/Pivdennyi")</f>
        <v>Yuzhny/Pivdennyi</v>
      </c>
      <c r="F662" s="5" t="str">
        <f>IFERROR(__xludf.DUMMYFUNCTION("""COMPUTED_VALUE"""),"Spain")</f>
        <v>Spain</v>
      </c>
      <c r="G662" s="5" t="str">
        <f>IFERROR(__xludf.DUMMYFUNCTION("""COMPUTED_VALUE"""),"Sunflower oil")</f>
        <v>Sunflower oil</v>
      </c>
      <c r="H662" s="6">
        <f>IFERROR(__xludf.DUMMYFUNCTION("""COMPUTED_VALUE"""),6600.0)</f>
        <v>6600</v>
      </c>
      <c r="I662" s="7">
        <f>IFERROR(__xludf.DUMMYFUNCTION("""COMPUTED_VALUE"""),44874.0)</f>
        <v>44874</v>
      </c>
      <c r="J662" s="7">
        <f>IFERROR(__xludf.DUMMYFUNCTION("""COMPUTED_VALUE"""),44876.0)</f>
        <v>44876</v>
      </c>
      <c r="K662" s="5" t="str">
        <f>IFERROR(__xludf.DUMMYFUNCTION("""COMPUTED_VALUE"""),"high-income")</f>
        <v>high-income</v>
      </c>
      <c r="L662" s="5" t="str">
        <f>IFERROR(__xludf.DUMMYFUNCTION("""COMPUTED_VALUE"""),"Malta")</f>
        <v>Malta</v>
      </c>
      <c r="M662" s="5" t="str">
        <f>IFERROR(__xludf.DUMMYFUNCTION("""COMPUTED_VALUE"""),"Europe &amp; Central Asia")</f>
        <v>Europe &amp; Central Asia</v>
      </c>
      <c r="N662" s="5" t="str">
        <f>IFERROR(__xludf.DUMMYFUNCTION("""COMPUTED_VALUE"""),"Western Europe and Others")</f>
        <v>Western Europe and Others</v>
      </c>
      <c r="O662" s="5" t="str">
        <f>IFERROR(__xludf.DUMMYFUNCTION("""COMPUTED_VALUE"""),"developed")</f>
        <v>developed</v>
      </c>
      <c r="P662" s="5"/>
      <c r="Q662" s="5"/>
    </row>
    <row r="663">
      <c r="A663" s="5" t="str">
        <f>IFERROR(__xludf.DUMMYFUNCTION("""COMPUTED_VALUE"""),"Outbound")</f>
        <v>Outbound</v>
      </c>
      <c r="B663" s="5">
        <f>IFERROR(__xludf.DUMMYFUNCTION("""COMPUTED_VALUE"""),433.0)</f>
        <v>433</v>
      </c>
      <c r="C663" s="5" t="str">
        <f>IFERROR(__xludf.DUMMYFUNCTION("""COMPUTED_VALUE"""),"DUZGIT INTEGRITY")</f>
        <v>DUZGIT INTEGRITY</v>
      </c>
      <c r="D663" s="5">
        <f>IFERROR(__xludf.DUMMYFUNCTION("""COMPUTED_VALUE"""),9380415.0)</f>
        <v>9380415</v>
      </c>
      <c r="E663" s="5" t="str">
        <f>IFERROR(__xludf.DUMMYFUNCTION("""COMPUTED_VALUE"""),"Chornomorsk")</f>
        <v>Chornomorsk</v>
      </c>
      <c r="F663" s="5" t="str">
        <f>IFERROR(__xludf.DUMMYFUNCTION("""COMPUTED_VALUE"""),"France")</f>
        <v>France</v>
      </c>
      <c r="G663" s="5" t="str">
        <f>IFERROR(__xludf.DUMMYFUNCTION("""COMPUTED_VALUE"""),"Sunflower oil")</f>
        <v>Sunflower oil</v>
      </c>
      <c r="H663" s="6">
        <f>IFERROR(__xludf.DUMMYFUNCTION("""COMPUTED_VALUE"""),9000.0)</f>
        <v>9000</v>
      </c>
      <c r="I663" s="7">
        <f>IFERROR(__xludf.DUMMYFUNCTION("""COMPUTED_VALUE"""),44874.0)</f>
        <v>44874</v>
      </c>
      <c r="J663" s="7">
        <f>IFERROR(__xludf.DUMMYFUNCTION("""COMPUTED_VALUE"""),44876.0)</f>
        <v>44876</v>
      </c>
      <c r="K663" s="5" t="str">
        <f>IFERROR(__xludf.DUMMYFUNCTION("""COMPUTED_VALUE"""),"high-income")</f>
        <v>high-income</v>
      </c>
      <c r="L663" s="5" t="str">
        <f>IFERROR(__xludf.DUMMYFUNCTION("""COMPUTED_VALUE"""),"Malta")</f>
        <v>Malta</v>
      </c>
      <c r="M663" s="5" t="str">
        <f>IFERROR(__xludf.DUMMYFUNCTION("""COMPUTED_VALUE"""),"Europe &amp; Central Asia")</f>
        <v>Europe &amp; Central Asia</v>
      </c>
      <c r="N663" s="5" t="str">
        <f>IFERROR(__xludf.DUMMYFUNCTION("""COMPUTED_VALUE"""),"Western Europe and Others")</f>
        <v>Western Europe and Others</v>
      </c>
      <c r="O663" s="5" t="str">
        <f>IFERROR(__xludf.DUMMYFUNCTION("""COMPUTED_VALUE"""),"developed")</f>
        <v>developed</v>
      </c>
      <c r="P663" s="5"/>
      <c r="Q663" s="5"/>
    </row>
    <row r="664">
      <c r="A664" s="5" t="str">
        <f>IFERROR(__xludf.DUMMYFUNCTION("""COMPUTED_VALUE"""),"Outbound")</f>
        <v>Outbound</v>
      </c>
      <c r="B664" s="5">
        <f>IFERROR(__xludf.DUMMYFUNCTION("""COMPUTED_VALUE"""),432.0)</f>
        <v>432</v>
      </c>
      <c r="C664" s="5" t="str">
        <f>IFERROR(__xludf.DUMMYFUNCTION("""COMPUTED_VALUE"""),"CHAMPION PULA")</f>
        <v>CHAMPION PULA</v>
      </c>
      <c r="D664" s="5">
        <f>IFERROR(__xludf.DUMMYFUNCTION("""COMPUTED_VALUE"""),9341146.0)</f>
        <v>9341146</v>
      </c>
      <c r="E664" s="5" t="str">
        <f>IFERROR(__xludf.DUMMYFUNCTION("""COMPUTED_VALUE"""),"Yuzhny/Pivdennyi")</f>
        <v>Yuzhny/Pivdennyi</v>
      </c>
      <c r="F664" s="5" t="str">
        <f>IFERROR(__xludf.DUMMYFUNCTION("""COMPUTED_VALUE"""),"China")</f>
        <v>China</v>
      </c>
      <c r="G664" s="5" t="str">
        <f>IFERROR(__xludf.DUMMYFUNCTION("""COMPUTED_VALUE"""),"Sunflower oil")</f>
        <v>Sunflower oil</v>
      </c>
      <c r="H664" s="6">
        <f>IFERROR(__xludf.DUMMYFUNCTION("""COMPUTED_VALUE"""),43250.0)</f>
        <v>43250</v>
      </c>
      <c r="I664" s="7">
        <f>IFERROR(__xludf.DUMMYFUNCTION("""COMPUTED_VALUE"""),44873.0)</f>
        <v>44873</v>
      </c>
      <c r="J664" s="7">
        <f>IFERROR(__xludf.DUMMYFUNCTION("""COMPUTED_VALUE"""),44875.0)</f>
        <v>44875</v>
      </c>
      <c r="K664" s="5" t="str">
        <f>IFERROR(__xludf.DUMMYFUNCTION("""COMPUTED_VALUE"""),"upper-middle-income")</f>
        <v>upper-middle-income</v>
      </c>
      <c r="L664" s="5" t="str">
        <f>IFERROR(__xludf.DUMMYFUNCTION("""COMPUTED_VALUE"""),"Norway")</f>
        <v>Norway</v>
      </c>
      <c r="M664" s="5" t="str">
        <f>IFERROR(__xludf.DUMMYFUNCTION("""COMPUTED_VALUE"""),"East Asia &amp; Pacific")</f>
        <v>East Asia &amp; Pacific</v>
      </c>
      <c r="N664" s="5" t="str">
        <f>IFERROR(__xludf.DUMMYFUNCTION("""COMPUTED_VALUE"""),"Asia-Pacific")</f>
        <v>Asia-Pacific</v>
      </c>
      <c r="O664" s="5" t="str">
        <f>IFERROR(__xludf.DUMMYFUNCTION("""COMPUTED_VALUE"""),"developing")</f>
        <v>developing</v>
      </c>
      <c r="P664" s="5"/>
      <c r="Q664" s="5"/>
    </row>
    <row r="665">
      <c r="A665" s="5" t="str">
        <f>IFERROR(__xludf.DUMMYFUNCTION("""COMPUTED_VALUE"""),"Outbound")</f>
        <v>Outbound</v>
      </c>
      <c r="B665" s="5">
        <f>IFERROR(__xludf.DUMMYFUNCTION("""COMPUTED_VALUE"""),431.0)</f>
        <v>431</v>
      </c>
      <c r="C665" s="5" t="str">
        <f>IFERROR(__xludf.DUMMYFUNCTION("""COMPUTED_VALUE"""),"MAVKA")</f>
        <v>MAVKA</v>
      </c>
      <c r="D665" s="5">
        <f>IFERROR(__xludf.DUMMYFUNCTION("""COMPUTED_VALUE"""),9284647.0)</f>
        <v>9284647</v>
      </c>
      <c r="E665" s="5" t="str">
        <f>IFERROR(__xludf.DUMMYFUNCTION("""COMPUTED_VALUE"""),"Chornomorsk")</f>
        <v>Chornomorsk</v>
      </c>
      <c r="F665" s="5" t="str">
        <f>IFERROR(__xludf.DUMMYFUNCTION("""COMPUTED_VALUE"""),"Romania")</f>
        <v>Romania</v>
      </c>
      <c r="G665" s="5" t="str">
        <f>IFERROR(__xludf.DUMMYFUNCTION("""COMPUTED_VALUE"""),"Sunflower oil")</f>
        <v>Sunflower oil</v>
      </c>
      <c r="H665" s="6">
        <f>IFERROR(__xludf.DUMMYFUNCTION("""COMPUTED_VALUE"""),12500.0)</f>
        <v>12500</v>
      </c>
      <c r="I665" s="7">
        <f>IFERROR(__xludf.DUMMYFUNCTION("""COMPUTED_VALUE"""),44869.0)</f>
        <v>44869</v>
      </c>
      <c r="J665" s="7">
        <f>IFERROR(__xludf.DUMMYFUNCTION("""COMPUTED_VALUE"""),44872.0)</f>
        <v>44872</v>
      </c>
      <c r="K665" s="5" t="str">
        <f>IFERROR(__xludf.DUMMYFUNCTION("""COMPUTED_VALUE"""),"high-income")</f>
        <v>high-income</v>
      </c>
      <c r="L665" s="5" t="str">
        <f>IFERROR(__xludf.DUMMYFUNCTION("""COMPUTED_VALUE"""),"Panama")</f>
        <v>Panama</v>
      </c>
      <c r="M665" s="5" t="str">
        <f>IFERROR(__xludf.DUMMYFUNCTION("""COMPUTED_VALUE"""),"Europe &amp; Central Asia")</f>
        <v>Europe &amp; Central Asia</v>
      </c>
      <c r="N665" s="5" t="str">
        <f>IFERROR(__xludf.DUMMYFUNCTION("""COMPUTED_VALUE"""),"Eastern Europe")</f>
        <v>Eastern Europe</v>
      </c>
      <c r="O665" s="5" t="str">
        <f>IFERROR(__xludf.DUMMYFUNCTION("""COMPUTED_VALUE"""),"developed")</f>
        <v>developed</v>
      </c>
      <c r="P665" s="5"/>
      <c r="Q665" s="5"/>
    </row>
    <row r="666">
      <c r="A666" s="5" t="str">
        <f>IFERROR(__xludf.DUMMYFUNCTION("""COMPUTED_VALUE"""),"Outbound")</f>
        <v>Outbound</v>
      </c>
      <c r="B666" s="5">
        <f>IFERROR(__xludf.DUMMYFUNCTION("""COMPUTED_VALUE"""),430.0)</f>
        <v>430</v>
      </c>
      <c r="C666" s="5" t="str">
        <f>IFERROR(__xludf.DUMMYFUNCTION("""COMPUTED_VALUE"""),"ESENTEPE")</f>
        <v>ESENTEPE</v>
      </c>
      <c r="D666" s="5">
        <f>IFERROR(__xludf.DUMMYFUNCTION("""COMPUTED_VALUE"""),9247508.0)</f>
        <v>9247508</v>
      </c>
      <c r="E666" s="5" t="str">
        <f>IFERROR(__xludf.DUMMYFUNCTION("""COMPUTED_VALUE"""),"Yuzhny/Pivdennyi")</f>
        <v>Yuzhny/Pivdennyi</v>
      </c>
      <c r="F666" s="5" t="str">
        <f>IFERROR(__xludf.DUMMYFUNCTION("""COMPUTED_VALUE"""),"Oman")</f>
        <v>Oman</v>
      </c>
      <c r="G666" s="5" t="str">
        <f>IFERROR(__xludf.DUMMYFUNCTION("""COMPUTED_VALUE"""),"Sunflower oil")</f>
        <v>Sunflower oil</v>
      </c>
      <c r="H666" s="6">
        <f>IFERROR(__xludf.DUMMYFUNCTION("""COMPUTED_VALUE"""),29000.0)</f>
        <v>29000</v>
      </c>
      <c r="I666" s="7">
        <f>IFERROR(__xludf.DUMMYFUNCTION("""COMPUTED_VALUE"""),44868.0)</f>
        <v>44868</v>
      </c>
      <c r="J666" s="7">
        <f>IFERROR(__xludf.DUMMYFUNCTION("""COMPUTED_VALUE"""),44872.0)</f>
        <v>44872</v>
      </c>
      <c r="K666" s="5" t="str">
        <f>IFERROR(__xludf.DUMMYFUNCTION("""COMPUTED_VALUE"""),"high-income")</f>
        <v>high-income</v>
      </c>
      <c r="L666" s="5" t="str">
        <f>IFERROR(__xludf.DUMMYFUNCTION("""COMPUTED_VALUE"""),"Marshall Islands")</f>
        <v>Marshall Islands</v>
      </c>
      <c r="M666" s="5" t="str">
        <f>IFERROR(__xludf.DUMMYFUNCTION("""COMPUTED_VALUE"""),"Middle East &amp; North Africa")</f>
        <v>Middle East &amp; North Africa</v>
      </c>
      <c r="N666" s="5" t="str">
        <f>IFERROR(__xludf.DUMMYFUNCTION("""COMPUTED_VALUE"""),"Asia-Pacific")</f>
        <v>Asia-Pacific</v>
      </c>
      <c r="O666" s="5" t="str">
        <f>IFERROR(__xludf.DUMMYFUNCTION("""COMPUTED_VALUE"""),"developing")</f>
        <v>developing</v>
      </c>
      <c r="P666" s="5"/>
      <c r="Q666" s="5"/>
    </row>
    <row r="667">
      <c r="A667" s="5" t="str">
        <f>IFERROR(__xludf.DUMMYFUNCTION("""COMPUTED_VALUE"""),"Outbound")</f>
        <v>Outbound</v>
      </c>
      <c r="B667" s="5">
        <f>IFERROR(__xludf.DUMMYFUNCTION("""COMPUTED_VALUE"""),429.0)</f>
        <v>429</v>
      </c>
      <c r="C667" s="5" t="str">
        <f>IFERROR(__xludf.DUMMYFUNCTION("""COMPUTED_VALUE"""),"ELEFSIS")</f>
        <v>ELEFSIS</v>
      </c>
      <c r="D667" s="5">
        <f>IFERROR(__xludf.DUMMYFUNCTION("""COMPUTED_VALUE"""),9118678.0)</f>
        <v>9118678</v>
      </c>
      <c r="E667" s="5" t="str">
        <f>IFERROR(__xludf.DUMMYFUNCTION("""COMPUTED_VALUE"""),"Chornomorsk")</f>
        <v>Chornomorsk</v>
      </c>
      <c r="F667" s="5" t="str">
        <f>IFERROR(__xludf.DUMMYFUNCTION("""COMPUTED_VALUE"""),"Spain")</f>
        <v>Spain</v>
      </c>
      <c r="G667" s="5" t="str">
        <f>IFERROR(__xludf.DUMMYFUNCTION("""COMPUTED_VALUE"""),"Wheat")</f>
        <v>Wheat</v>
      </c>
      <c r="H667" s="6">
        <f>IFERROR(__xludf.DUMMYFUNCTION("""COMPUTED_VALUE"""),64300.0)</f>
        <v>64300</v>
      </c>
      <c r="I667" s="7">
        <f>IFERROR(__xludf.DUMMYFUNCTION("""COMPUTED_VALUE"""),44868.0)</f>
        <v>44868</v>
      </c>
      <c r="J667" s="7">
        <f>IFERROR(__xludf.DUMMYFUNCTION("""COMPUTED_VALUE"""),44874.0)</f>
        <v>44874</v>
      </c>
      <c r="K667" s="5" t="str">
        <f>IFERROR(__xludf.DUMMYFUNCTION("""COMPUTED_VALUE"""),"high-income")</f>
        <v>high-income</v>
      </c>
      <c r="L667" s="5" t="str">
        <f>IFERROR(__xludf.DUMMYFUNCTION("""COMPUTED_VALUE"""),"Malta")</f>
        <v>Malta</v>
      </c>
      <c r="M667" s="5" t="str">
        <f>IFERROR(__xludf.DUMMYFUNCTION("""COMPUTED_VALUE"""),"Europe &amp; Central Asia")</f>
        <v>Europe &amp; Central Asia</v>
      </c>
      <c r="N667" s="5" t="str">
        <f>IFERROR(__xludf.DUMMYFUNCTION("""COMPUTED_VALUE"""),"Western Europe and Others")</f>
        <v>Western Europe and Others</v>
      </c>
      <c r="O667" s="5" t="str">
        <f>IFERROR(__xludf.DUMMYFUNCTION("""COMPUTED_VALUE"""),"developed")</f>
        <v>developed</v>
      </c>
      <c r="P667" s="5"/>
      <c r="Q667" s="5"/>
    </row>
    <row r="668">
      <c r="A668" s="5" t="str">
        <f>IFERROR(__xludf.DUMMYFUNCTION("""COMPUTED_VALUE"""),"Outbound")</f>
        <v>Outbound</v>
      </c>
      <c r="B668" s="5">
        <f>IFERROR(__xludf.DUMMYFUNCTION("""COMPUTED_VALUE"""),428.0)</f>
        <v>428</v>
      </c>
      <c r="C668" s="5" t="str">
        <f>IFERROR(__xludf.DUMMYFUNCTION("""COMPUTED_VALUE"""),"CHRISTINA B")</f>
        <v>CHRISTINA B</v>
      </c>
      <c r="D668" s="5">
        <f>IFERROR(__xludf.DUMMYFUNCTION("""COMPUTED_VALUE"""),9304162.0)</f>
        <v>9304162</v>
      </c>
      <c r="E668" s="5" t="str">
        <f>IFERROR(__xludf.DUMMYFUNCTION("""COMPUTED_VALUE"""),"Yuzhny/Pivdennyi")</f>
        <v>Yuzhny/Pivdennyi</v>
      </c>
      <c r="F668" s="5" t="str">
        <f>IFERROR(__xludf.DUMMYFUNCTION("""COMPUTED_VALUE"""),"China")</f>
        <v>China</v>
      </c>
      <c r="G668" s="5" t="str">
        <f>IFERROR(__xludf.DUMMYFUNCTION("""COMPUTED_VALUE"""),"Corn")</f>
        <v>Corn</v>
      </c>
      <c r="H668" s="6">
        <f>IFERROR(__xludf.DUMMYFUNCTION("""COMPUTED_VALUE"""),62258.0)</f>
        <v>62258</v>
      </c>
      <c r="I668" s="7">
        <f>IFERROR(__xludf.DUMMYFUNCTION("""COMPUTED_VALUE"""),44868.0)</f>
        <v>44868</v>
      </c>
      <c r="J668" s="7">
        <f>IFERROR(__xludf.DUMMYFUNCTION("""COMPUTED_VALUE"""),44879.0)</f>
        <v>44879</v>
      </c>
      <c r="K668" s="5" t="str">
        <f>IFERROR(__xludf.DUMMYFUNCTION("""COMPUTED_VALUE"""),"upper-middle-income")</f>
        <v>upper-middle-income</v>
      </c>
      <c r="L668" s="5" t="str">
        <f>IFERROR(__xludf.DUMMYFUNCTION("""COMPUTED_VALUE"""),"Liberia")</f>
        <v>Liberia</v>
      </c>
      <c r="M668" s="5" t="str">
        <f>IFERROR(__xludf.DUMMYFUNCTION("""COMPUTED_VALUE"""),"East Asia &amp; Pacific")</f>
        <v>East Asia &amp; Pacific</v>
      </c>
      <c r="N668" s="5" t="str">
        <f>IFERROR(__xludf.DUMMYFUNCTION("""COMPUTED_VALUE"""),"Asia-Pacific")</f>
        <v>Asia-Pacific</v>
      </c>
      <c r="O668" s="5" t="str">
        <f>IFERROR(__xludf.DUMMYFUNCTION("""COMPUTED_VALUE"""),"developing")</f>
        <v>developing</v>
      </c>
      <c r="P668" s="5"/>
      <c r="Q668" s="5"/>
    </row>
    <row r="669">
      <c r="A669" s="5" t="str">
        <f>IFERROR(__xludf.DUMMYFUNCTION("""COMPUTED_VALUE"""),"Outbound")</f>
        <v>Outbound</v>
      </c>
      <c r="B669" s="5">
        <f>IFERROR(__xludf.DUMMYFUNCTION("""COMPUTED_VALUE"""),427.0)</f>
        <v>427</v>
      </c>
      <c r="C669" s="5" t="str">
        <f>IFERROR(__xludf.DUMMYFUNCTION("""COMPUTED_VALUE"""),"SVETI DUJAM")</f>
        <v>SVETI DUJAM</v>
      </c>
      <c r="D669" s="5">
        <f>IFERROR(__xludf.DUMMYFUNCTION("""COMPUTED_VALUE"""),9519638.0)</f>
        <v>9519638</v>
      </c>
      <c r="E669" s="5" t="str">
        <f>IFERROR(__xludf.DUMMYFUNCTION("""COMPUTED_VALUE"""),"Chornomorsk")</f>
        <v>Chornomorsk</v>
      </c>
      <c r="F669" s="5" t="str">
        <f>IFERROR(__xludf.DUMMYFUNCTION("""COMPUTED_VALUE"""),"China")</f>
        <v>China</v>
      </c>
      <c r="G669" s="5" t="str">
        <f>IFERROR(__xludf.DUMMYFUNCTION("""COMPUTED_VALUE"""),"Sunflower meal")</f>
        <v>Sunflower meal</v>
      </c>
      <c r="H669" s="6">
        <f>IFERROR(__xludf.DUMMYFUNCTION("""COMPUTED_VALUE"""),31908.0)</f>
        <v>31908</v>
      </c>
      <c r="I669" s="7">
        <f>IFERROR(__xludf.DUMMYFUNCTION("""COMPUTED_VALUE"""),44867.0)</f>
        <v>44867</v>
      </c>
      <c r="J669" s="7">
        <f>IFERROR(__xludf.DUMMYFUNCTION("""COMPUTED_VALUE"""),44874.0)</f>
        <v>44874</v>
      </c>
      <c r="K669" s="5" t="str">
        <f>IFERROR(__xludf.DUMMYFUNCTION("""COMPUTED_VALUE"""),"upper-middle-income")</f>
        <v>upper-middle-income</v>
      </c>
      <c r="L669" s="5" t="str">
        <f>IFERROR(__xludf.DUMMYFUNCTION("""COMPUTED_VALUE"""),"Croatia")</f>
        <v>Croatia</v>
      </c>
      <c r="M669" s="5" t="str">
        <f>IFERROR(__xludf.DUMMYFUNCTION("""COMPUTED_VALUE"""),"East Asia &amp; Pacific")</f>
        <v>East Asia &amp; Pacific</v>
      </c>
      <c r="N669" s="5" t="str">
        <f>IFERROR(__xludf.DUMMYFUNCTION("""COMPUTED_VALUE"""),"Asia-Pacific")</f>
        <v>Asia-Pacific</v>
      </c>
      <c r="O669" s="5" t="str">
        <f>IFERROR(__xludf.DUMMYFUNCTION("""COMPUTED_VALUE"""),"developing")</f>
        <v>developing</v>
      </c>
      <c r="P669" s="5"/>
      <c r="Q669" s="5"/>
    </row>
    <row r="670">
      <c r="A670" s="5" t="str">
        <f>IFERROR(__xludf.DUMMYFUNCTION("""COMPUTED_VALUE"""),"Outbound")</f>
        <v>Outbound</v>
      </c>
      <c r="B670" s="5">
        <f>IFERROR(__xludf.DUMMYFUNCTION("""COMPUTED_VALUE"""),426.0)</f>
        <v>426</v>
      </c>
      <c r="C670" s="5" t="str">
        <f>IFERROR(__xludf.DUMMYFUNCTION("""COMPUTED_VALUE"""),"RIO")</f>
        <v>RIO</v>
      </c>
      <c r="D670" s="5">
        <f>IFERROR(__xludf.DUMMYFUNCTION("""COMPUTED_VALUE"""),9039975.0)</f>
        <v>9039975</v>
      </c>
      <c r="E670" s="5" t="str">
        <f>IFERROR(__xludf.DUMMYFUNCTION("""COMPUTED_VALUE"""),"Odesa")</f>
        <v>Odesa</v>
      </c>
      <c r="F670" s="5" t="str">
        <f>IFERROR(__xludf.DUMMYFUNCTION("""COMPUTED_VALUE"""),"Italy")</f>
        <v>Italy</v>
      </c>
      <c r="G670" s="5" t="str">
        <f>IFERROR(__xludf.DUMMYFUNCTION("""COMPUTED_VALUE"""),"Wheat")</f>
        <v>Wheat</v>
      </c>
      <c r="H670" s="6">
        <f>IFERROR(__xludf.DUMMYFUNCTION("""COMPUTED_VALUE"""),9100.0)</f>
        <v>9100</v>
      </c>
      <c r="I670" s="7">
        <f>IFERROR(__xludf.DUMMYFUNCTION("""COMPUTED_VALUE"""),44867.0)</f>
        <v>44867</v>
      </c>
      <c r="J670" s="7">
        <f>IFERROR(__xludf.DUMMYFUNCTION("""COMPUTED_VALUE"""),44874.0)</f>
        <v>44874</v>
      </c>
      <c r="K670" s="5" t="str">
        <f>IFERROR(__xludf.DUMMYFUNCTION("""COMPUTED_VALUE"""),"high-income")</f>
        <v>high-income</v>
      </c>
      <c r="L670" s="5" t="str">
        <f>IFERROR(__xludf.DUMMYFUNCTION("""COMPUTED_VALUE"""),"Comoros")</f>
        <v>Comoros</v>
      </c>
      <c r="M670" s="5" t="str">
        <f>IFERROR(__xludf.DUMMYFUNCTION("""COMPUTED_VALUE"""),"Europe &amp; Central Asia")</f>
        <v>Europe &amp; Central Asia</v>
      </c>
      <c r="N670" s="5" t="str">
        <f>IFERROR(__xludf.DUMMYFUNCTION("""COMPUTED_VALUE"""),"Western Europe and Others")</f>
        <v>Western Europe and Others</v>
      </c>
      <c r="O670" s="5" t="str">
        <f>IFERROR(__xludf.DUMMYFUNCTION("""COMPUTED_VALUE"""),"developed")</f>
        <v>developed</v>
      </c>
      <c r="P670" s="5"/>
      <c r="Q670" s="5"/>
    </row>
    <row r="671">
      <c r="A671" s="5" t="str">
        <f>IFERROR(__xludf.DUMMYFUNCTION("""COMPUTED_VALUE"""),"Outbound")</f>
        <v>Outbound</v>
      </c>
      <c r="B671" s="5">
        <f>IFERROR(__xludf.DUMMYFUNCTION("""COMPUTED_VALUE"""),425.0)</f>
        <v>425</v>
      </c>
      <c r="C671" s="5" t="str">
        <f>IFERROR(__xludf.DUMMYFUNCTION("""COMPUTED_VALUE"""),"RATTANA NAREE")</f>
        <v>RATTANA NAREE</v>
      </c>
      <c r="D671" s="5">
        <f>IFERROR(__xludf.DUMMYFUNCTION("""COMPUTED_VALUE"""),9245055.0)</f>
        <v>9245055</v>
      </c>
      <c r="E671" s="5" t="str">
        <f>IFERROR(__xludf.DUMMYFUNCTION("""COMPUTED_VALUE"""),"Yuzhny/Pivdennyi")</f>
        <v>Yuzhny/Pivdennyi</v>
      </c>
      <c r="F671" s="5" t="str">
        <f>IFERROR(__xludf.DUMMYFUNCTION("""COMPUTED_VALUE"""),"The Netherlands")</f>
        <v>The Netherlands</v>
      </c>
      <c r="G671" s="5" t="str">
        <f>IFERROR(__xludf.DUMMYFUNCTION("""COMPUTED_VALUE"""),"Soya beans")</f>
        <v>Soya beans</v>
      </c>
      <c r="H671" s="6">
        <f>IFERROR(__xludf.DUMMYFUNCTION("""COMPUTED_VALUE"""),26786.0)</f>
        <v>26786</v>
      </c>
      <c r="I671" s="7">
        <f>IFERROR(__xludf.DUMMYFUNCTION("""COMPUTED_VALUE"""),44867.0)</f>
        <v>44867</v>
      </c>
      <c r="J671" s="7">
        <f>IFERROR(__xludf.DUMMYFUNCTION("""COMPUTED_VALUE"""),44871.0)</f>
        <v>44871</v>
      </c>
      <c r="K671" s="5" t="str">
        <f>IFERROR(__xludf.DUMMYFUNCTION("""COMPUTED_VALUE"""),"high-income")</f>
        <v>high-income</v>
      </c>
      <c r="L671" s="5" t="str">
        <f>IFERROR(__xludf.DUMMYFUNCTION("""COMPUTED_VALUE"""),"Thailand")</f>
        <v>Thailand</v>
      </c>
      <c r="M671" s="5" t="str">
        <f>IFERROR(__xludf.DUMMYFUNCTION("""COMPUTED_VALUE"""),"Europe &amp; Central Asia")</f>
        <v>Europe &amp; Central Asia</v>
      </c>
      <c r="N671" s="5" t="str">
        <f>IFERROR(__xludf.DUMMYFUNCTION("""COMPUTED_VALUE"""),"Western Europe and Others")</f>
        <v>Western Europe and Others</v>
      </c>
      <c r="O671" s="5" t="str">
        <f>IFERROR(__xludf.DUMMYFUNCTION("""COMPUTED_VALUE"""),"developed")</f>
        <v>developed</v>
      </c>
      <c r="P671" s="5"/>
      <c r="Q671" s="5"/>
    </row>
    <row r="672">
      <c r="A672" s="5" t="str">
        <f>IFERROR(__xludf.DUMMYFUNCTION("""COMPUTED_VALUE"""),"Outbound")</f>
        <v>Outbound</v>
      </c>
      <c r="B672" s="5">
        <f>IFERROR(__xludf.DUMMYFUNCTION("""COMPUTED_VALUE"""),424.0)</f>
        <v>424</v>
      </c>
      <c r="C672" s="5" t="str">
        <f>IFERROR(__xludf.DUMMYFUNCTION("""COMPUTED_VALUE"""),"KEY KNIGHT")</f>
        <v>KEY KNIGHT</v>
      </c>
      <c r="D672" s="5">
        <f>IFERROR(__xludf.DUMMYFUNCTION("""COMPUTED_VALUE"""),9512317.0)</f>
        <v>9512317</v>
      </c>
      <c r="E672" s="5" t="str">
        <f>IFERROR(__xludf.DUMMYFUNCTION("""COMPUTED_VALUE"""),"Chornomorsk")</f>
        <v>Chornomorsk</v>
      </c>
      <c r="F672" s="5" t="str">
        <f>IFERROR(__xludf.DUMMYFUNCTION("""COMPUTED_VALUE"""),"China")</f>
        <v>China</v>
      </c>
      <c r="G672" s="5" t="str">
        <f>IFERROR(__xludf.DUMMYFUNCTION("""COMPUTED_VALUE"""),"Corn")</f>
        <v>Corn</v>
      </c>
      <c r="H672" s="6">
        <f>IFERROR(__xludf.DUMMYFUNCTION("""COMPUTED_VALUE"""),66750.0)</f>
        <v>66750</v>
      </c>
      <c r="I672" s="7">
        <f>IFERROR(__xludf.DUMMYFUNCTION("""COMPUTED_VALUE"""),44867.0)</f>
        <v>44867</v>
      </c>
      <c r="J672" s="7">
        <f>IFERROR(__xludf.DUMMYFUNCTION("""COMPUTED_VALUE"""),44874.0)</f>
        <v>44874</v>
      </c>
      <c r="K672" s="5" t="str">
        <f>IFERROR(__xludf.DUMMYFUNCTION("""COMPUTED_VALUE"""),"upper-middle-income")</f>
        <v>upper-middle-income</v>
      </c>
      <c r="L672" s="5" t="str">
        <f>IFERROR(__xludf.DUMMYFUNCTION("""COMPUTED_VALUE"""),"Liberia")</f>
        <v>Liberia</v>
      </c>
      <c r="M672" s="5" t="str">
        <f>IFERROR(__xludf.DUMMYFUNCTION("""COMPUTED_VALUE"""),"East Asia &amp; Pacific")</f>
        <v>East Asia &amp; Pacific</v>
      </c>
      <c r="N672" s="5" t="str">
        <f>IFERROR(__xludf.DUMMYFUNCTION("""COMPUTED_VALUE"""),"Asia-Pacific")</f>
        <v>Asia-Pacific</v>
      </c>
      <c r="O672" s="5" t="str">
        <f>IFERROR(__xludf.DUMMYFUNCTION("""COMPUTED_VALUE"""),"developing")</f>
        <v>developing</v>
      </c>
      <c r="P672" s="5"/>
      <c r="Q672" s="5" t="str">
        <f>IFERROR(__xludf.DUMMYFUNCTION("""COMPUTED_VALUE"""),"Stranded")</f>
        <v>Stranded</v>
      </c>
    </row>
    <row r="673">
      <c r="A673" s="5" t="str">
        <f>IFERROR(__xludf.DUMMYFUNCTION("""COMPUTED_VALUE"""),"Outbound")</f>
        <v>Outbound</v>
      </c>
      <c r="B673" s="5">
        <f>IFERROR(__xludf.DUMMYFUNCTION("""COMPUTED_VALUE"""),423.0)</f>
        <v>423</v>
      </c>
      <c r="C673" s="5" t="str">
        <f>IFERROR(__xludf.DUMMYFUNCTION("""COMPUTED_VALUE"""),"NIMET TORLAK")</f>
        <v>NIMET TORLAK</v>
      </c>
      <c r="D673" s="5">
        <f>IFERROR(__xludf.DUMMYFUNCTION("""COMPUTED_VALUE"""),9282948.0)</f>
        <v>9282948</v>
      </c>
      <c r="E673" s="5" t="str">
        <f>IFERROR(__xludf.DUMMYFUNCTION("""COMPUTED_VALUE"""),"Yuzhny/Pivdennyi")</f>
        <v>Yuzhny/Pivdennyi</v>
      </c>
      <c r="F673" s="5" t="str">
        <f>IFERROR(__xludf.DUMMYFUNCTION("""COMPUTED_VALUE"""),"Morocco")</f>
        <v>Morocco</v>
      </c>
      <c r="G673" s="5" t="str">
        <f>IFERROR(__xludf.DUMMYFUNCTION("""COMPUTED_VALUE"""),"Sunflower meal")</f>
        <v>Sunflower meal</v>
      </c>
      <c r="H673" s="6">
        <f>IFERROR(__xludf.DUMMYFUNCTION("""COMPUTED_VALUE"""),12690.0)</f>
        <v>12690</v>
      </c>
      <c r="I673" s="7">
        <f>IFERROR(__xludf.DUMMYFUNCTION("""COMPUTED_VALUE"""),44866.0)</f>
        <v>44866</v>
      </c>
      <c r="J673" s="7">
        <f>IFERROR(__xludf.DUMMYFUNCTION("""COMPUTED_VALUE"""),44871.0)</f>
        <v>44871</v>
      </c>
      <c r="K673" s="5" t="str">
        <f>IFERROR(__xludf.DUMMYFUNCTION("""COMPUTED_VALUE"""),"lower-middle income")</f>
        <v>lower-middle income</v>
      </c>
      <c r="L673" s="5" t="str">
        <f>IFERROR(__xludf.DUMMYFUNCTION("""COMPUTED_VALUE"""),"Liberia")</f>
        <v>Liberia</v>
      </c>
      <c r="M673" s="5" t="str">
        <f>IFERROR(__xludf.DUMMYFUNCTION("""COMPUTED_VALUE"""),"Middle East &amp; North Africa")</f>
        <v>Middle East &amp; North Africa</v>
      </c>
      <c r="N673" s="5" t="str">
        <f>IFERROR(__xludf.DUMMYFUNCTION("""COMPUTED_VALUE"""),"Africa")</f>
        <v>Africa</v>
      </c>
      <c r="O673" s="5" t="str">
        <f>IFERROR(__xludf.DUMMYFUNCTION("""COMPUTED_VALUE"""),"developing")</f>
        <v>developing</v>
      </c>
      <c r="P673" s="5"/>
      <c r="Q673" s="5"/>
    </row>
    <row r="674">
      <c r="A674" s="5" t="str">
        <f>IFERROR(__xludf.DUMMYFUNCTION("""COMPUTED_VALUE"""),"Outbound")</f>
        <v>Outbound</v>
      </c>
      <c r="B674" s="5">
        <f>IFERROR(__xludf.DUMMYFUNCTION("""COMPUTED_VALUE"""),422.0)</f>
        <v>422</v>
      </c>
      <c r="C674" s="5" t="str">
        <f>IFERROR(__xludf.DUMMYFUNCTION("""COMPUTED_VALUE"""),"BOMUSTAFA O")</f>
        <v>BOMUSTAFA O</v>
      </c>
      <c r="D674" s="5">
        <f>IFERROR(__xludf.DUMMYFUNCTION("""COMPUTED_VALUE"""),9114476.0)</f>
        <v>9114476</v>
      </c>
      <c r="E674" s="5" t="str">
        <f>IFERROR(__xludf.DUMMYFUNCTION("""COMPUTED_VALUE"""),"Chornomorsk")</f>
        <v>Chornomorsk</v>
      </c>
      <c r="F674" s="5" t="str">
        <f>IFERROR(__xludf.DUMMYFUNCTION("""COMPUTED_VALUE"""),"Libya")</f>
        <v>Libya</v>
      </c>
      <c r="G674" s="5" t="str">
        <f>IFERROR(__xludf.DUMMYFUNCTION("""COMPUTED_VALUE"""),"Wheat")</f>
        <v>Wheat</v>
      </c>
      <c r="H674" s="6">
        <f>IFERROR(__xludf.DUMMYFUNCTION("""COMPUTED_VALUE"""),22800.0)</f>
        <v>22800</v>
      </c>
      <c r="I674" s="7">
        <f>IFERROR(__xludf.DUMMYFUNCTION("""COMPUTED_VALUE"""),44866.0)</f>
        <v>44866</v>
      </c>
      <c r="J674" s="7">
        <f>IFERROR(__xludf.DUMMYFUNCTION("""COMPUTED_VALUE"""),44876.0)</f>
        <v>44876</v>
      </c>
      <c r="K674" s="5" t="str">
        <f>IFERROR(__xludf.DUMMYFUNCTION("""COMPUTED_VALUE"""),"upper-middle-income")</f>
        <v>upper-middle-income</v>
      </c>
      <c r="L674" s="5" t="str">
        <f>IFERROR(__xludf.DUMMYFUNCTION("""COMPUTED_VALUE"""),"Panama")</f>
        <v>Panama</v>
      </c>
      <c r="M674" s="5" t="str">
        <f>IFERROR(__xludf.DUMMYFUNCTION("""COMPUTED_VALUE"""),"Middle East &amp; North Africa")</f>
        <v>Middle East &amp; North Africa</v>
      </c>
      <c r="N674" s="5" t="str">
        <f>IFERROR(__xludf.DUMMYFUNCTION("""COMPUTED_VALUE"""),"Africa")</f>
        <v>Africa</v>
      </c>
      <c r="O674" s="5" t="str">
        <f>IFERROR(__xludf.DUMMYFUNCTION("""COMPUTED_VALUE"""),"developing")</f>
        <v>developing</v>
      </c>
      <c r="P674" s="5"/>
      <c r="Q674" s="5"/>
    </row>
    <row r="675">
      <c r="A675" s="5" t="str">
        <f>IFERROR(__xludf.DUMMYFUNCTION("""COMPUTED_VALUE"""),"Outbound")</f>
        <v>Outbound</v>
      </c>
      <c r="B675" s="5">
        <f>IFERROR(__xludf.DUMMYFUNCTION("""COMPUTED_VALUE"""),421.0)</f>
        <v>421</v>
      </c>
      <c r="C675" s="5" t="str">
        <f>IFERROR(__xludf.DUMMYFUNCTION("""COMPUTED_VALUE"""),"SSI CHALLENGER")</f>
        <v>SSI CHALLENGER</v>
      </c>
      <c r="D675" s="5">
        <f>IFERROR(__xludf.DUMMYFUNCTION("""COMPUTED_VALUE"""),9284300.0)</f>
        <v>9284300</v>
      </c>
      <c r="E675" s="5" t="str">
        <f>IFERROR(__xludf.DUMMYFUNCTION("""COMPUTED_VALUE"""),"Chornomorsk")</f>
        <v>Chornomorsk</v>
      </c>
      <c r="F675" s="5" t="str">
        <f>IFERROR(__xludf.DUMMYFUNCTION("""COMPUTED_VALUE"""),"Germany")</f>
        <v>Germany</v>
      </c>
      <c r="G675" s="5" t="str">
        <f>IFERROR(__xludf.DUMMYFUNCTION("""COMPUTED_VALUE"""),"Corn")</f>
        <v>Corn</v>
      </c>
      <c r="H675" s="6">
        <f>IFERROR(__xludf.DUMMYFUNCTION("""COMPUTED_VALUE"""),49000.0)</f>
        <v>49000</v>
      </c>
      <c r="I675" s="7">
        <f>IFERROR(__xludf.DUMMYFUNCTION("""COMPUTED_VALUE"""),44865.0)</f>
        <v>44865</v>
      </c>
      <c r="J675" s="7">
        <f>IFERROR(__xludf.DUMMYFUNCTION("""COMPUTED_VALUE"""),44873.0)</f>
        <v>44873</v>
      </c>
      <c r="K675" s="5" t="str">
        <f>IFERROR(__xludf.DUMMYFUNCTION("""COMPUTED_VALUE"""),"high-income")</f>
        <v>high-income</v>
      </c>
      <c r="L675" s="5" t="str">
        <f>IFERROR(__xludf.DUMMYFUNCTION("""COMPUTED_VALUE"""),"Marshall Islands")</f>
        <v>Marshall Islands</v>
      </c>
      <c r="M675" s="5" t="str">
        <f>IFERROR(__xludf.DUMMYFUNCTION("""COMPUTED_VALUE"""),"Europe &amp; Central Asia")</f>
        <v>Europe &amp; Central Asia</v>
      </c>
      <c r="N675" s="5" t="str">
        <f>IFERROR(__xludf.DUMMYFUNCTION("""COMPUTED_VALUE"""),"Western Europe and Others")</f>
        <v>Western Europe and Others</v>
      </c>
      <c r="O675" s="5" t="str">
        <f>IFERROR(__xludf.DUMMYFUNCTION("""COMPUTED_VALUE"""),"developed")</f>
        <v>developed</v>
      </c>
      <c r="P675" s="5"/>
      <c r="Q675" s="5"/>
    </row>
    <row r="676">
      <c r="A676" s="5" t="str">
        <f>IFERROR(__xludf.DUMMYFUNCTION("""COMPUTED_VALUE"""),"Outbound")</f>
        <v>Outbound</v>
      </c>
      <c r="B676" s="5">
        <f>IFERROR(__xludf.DUMMYFUNCTION("""COMPUTED_VALUE"""),420.0)</f>
        <v>420</v>
      </c>
      <c r="C676" s="5" t="str">
        <f>IFERROR(__xludf.DUMMYFUNCTION("""COMPUTED_VALUE"""),"MOUNT BAKER")</f>
        <v>MOUNT BAKER</v>
      </c>
      <c r="D676" s="5">
        <f>IFERROR(__xludf.DUMMYFUNCTION("""COMPUTED_VALUE"""),9266918.0)</f>
        <v>9266918</v>
      </c>
      <c r="E676" s="5" t="str">
        <f>IFERROR(__xludf.DUMMYFUNCTION("""COMPUTED_VALUE"""),"Yuzhny/Pivdennyi")</f>
        <v>Yuzhny/Pivdennyi</v>
      </c>
      <c r="F676" s="5" t="str">
        <f>IFERROR(__xludf.DUMMYFUNCTION("""COMPUTED_VALUE"""),"Spain")</f>
        <v>Spain</v>
      </c>
      <c r="G676" s="5" t="str">
        <f>IFERROR(__xludf.DUMMYFUNCTION("""COMPUTED_VALUE"""),"Corn")</f>
        <v>Corn</v>
      </c>
      <c r="H676" s="6">
        <f>IFERROR(__xludf.DUMMYFUNCTION("""COMPUTED_VALUE"""),31635.0)</f>
        <v>31635</v>
      </c>
      <c r="I676" s="7">
        <f>IFERROR(__xludf.DUMMYFUNCTION("""COMPUTED_VALUE"""),44865.0)</f>
        <v>44865</v>
      </c>
      <c r="J676" s="7">
        <f>IFERROR(__xludf.DUMMYFUNCTION("""COMPUTED_VALUE"""),44890.0)</f>
        <v>44890</v>
      </c>
      <c r="K676" s="5" t="str">
        <f>IFERROR(__xludf.DUMMYFUNCTION("""COMPUTED_VALUE"""),"high-income")</f>
        <v>high-income</v>
      </c>
      <c r="L676" s="5" t="str">
        <f>IFERROR(__xludf.DUMMYFUNCTION("""COMPUTED_VALUE"""),"Hong Kong")</f>
        <v>Hong Kong</v>
      </c>
      <c r="M676" s="5" t="str">
        <f>IFERROR(__xludf.DUMMYFUNCTION("""COMPUTED_VALUE"""),"Europe &amp; Central Asia")</f>
        <v>Europe &amp; Central Asia</v>
      </c>
      <c r="N676" s="5" t="str">
        <f>IFERROR(__xludf.DUMMYFUNCTION("""COMPUTED_VALUE"""),"Western Europe and Others")</f>
        <v>Western Europe and Others</v>
      </c>
      <c r="O676" s="5" t="str">
        <f>IFERROR(__xludf.DUMMYFUNCTION("""COMPUTED_VALUE"""),"developed")</f>
        <v>developed</v>
      </c>
      <c r="P676" s="5"/>
      <c r="Q676" s="5"/>
    </row>
    <row r="677">
      <c r="A677" s="5" t="str">
        <f>IFERROR(__xludf.DUMMYFUNCTION("""COMPUTED_VALUE"""),"Outbound")</f>
        <v>Outbound</v>
      </c>
      <c r="B677" s="5">
        <f>IFERROR(__xludf.DUMMYFUNCTION("""COMPUTED_VALUE"""),419.0)</f>
        <v>419</v>
      </c>
      <c r="C677" s="5" t="str">
        <f>IFERROR(__xludf.DUMMYFUNCTION("""COMPUTED_VALUE"""),"KARAMEL")</f>
        <v>KARAMEL</v>
      </c>
      <c r="D677" s="5">
        <f>IFERROR(__xludf.DUMMYFUNCTION("""COMPUTED_VALUE"""),9316921.0)</f>
        <v>9316921</v>
      </c>
      <c r="E677" s="5" t="str">
        <f>IFERROR(__xludf.DUMMYFUNCTION("""COMPUTED_VALUE"""),"Odesa")</f>
        <v>Odesa</v>
      </c>
      <c r="F677" s="5" t="str">
        <f>IFERROR(__xludf.DUMMYFUNCTION("""COMPUTED_VALUE"""),"Libya")</f>
        <v>Libya</v>
      </c>
      <c r="G677" s="5" t="str">
        <f>IFERROR(__xludf.DUMMYFUNCTION("""COMPUTED_VALUE"""),"Corn")</f>
        <v>Corn</v>
      </c>
      <c r="H677" s="6">
        <f>IFERROR(__xludf.DUMMYFUNCTION("""COMPUTED_VALUE"""),33000.0)</f>
        <v>33000</v>
      </c>
      <c r="I677" s="7">
        <f>IFERROR(__xludf.DUMMYFUNCTION("""COMPUTED_VALUE"""),44865.0)</f>
        <v>44865</v>
      </c>
      <c r="J677" s="7">
        <f>IFERROR(__xludf.DUMMYFUNCTION("""COMPUTED_VALUE"""),44876.0)</f>
        <v>44876</v>
      </c>
      <c r="K677" s="5" t="str">
        <f>IFERROR(__xludf.DUMMYFUNCTION("""COMPUTED_VALUE"""),"upper-middle-income")</f>
        <v>upper-middle-income</v>
      </c>
      <c r="L677" s="5" t="str">
        <f>IFERROR(__xludf.DUMMYFUNCTION("""COMPUTED_VALUE"""),"Barbados")</f>
        <v>Barbados</v>
      </c>
      <c r="M677" s="5" t="str">
        <f>IFERROR(__xludf.DUMMYFUNCTION("""COMPUTED_VALUE"""),"Middle East &amp; North Africa")</f>
        <v>Middle East &amp; North Africa</v>
      </c>
      <c r="N677" s="5" t="str">
        <f>IFERROR(__xludf.DUMMYFUNCTION("""COMPUTED_VALUE"""),"Africa")</f>
        <v>Africa</v>
      </c>
      <c r="O677" s="5" t="str">
        <f>IFERROR(__xludf.DUMMYFUNCTION("""COMPUTED_VALUE"""),"developing")</f>
        <v>developing</v>
      </c>
      <c r="P677" s="5"/>
      <c r="Q677" s="5"/>
    </row>
    <row r="678">
      <c r="A678" s="5" t="str">
        <f>IFERROR(__xludf.DUMMYFUNCTION("""COMPUTED_VALUE"""),"Outbound")</f>
        <v>Outbound</v>
      </c>
      <c r="B678" s="5">
        <f>IFERROR(__xludf.DUMMYFUNCTION("""COMPUTED_VALUE"""),418.0)</f>
        <v>418</v>
      </c>
      <c r="C678" s="5" t="str">
        <f>IFERROR(__xludf.DUMMYFUNCTION("""COMPUTED_VALUE"""),"CARAVOS HARMONY")</f>
        <v>CARAVOS HARMONY</v>
      </c>
      <c r="D678" s="5">
        <f>IFERROR(__xludf.DUMMYFUNCTION("""COMPUTED_VALUE"""),9595589.0)</f>
        <v>9595589</v>
      </c>
      <c r="E678" s="5" t="str">
        <f>IFERROR(__xludf.DUMMYFUNCTION("""COMPUTED_VALUE"""),"Chornomorsk")</f>
        <v>Chornomorsk</v>
      </c>
      <c r="F678" s="5" t="str">
        <f>IFERROR(__xludf.DUMMYFUNCTION("""COMPUTED_VALUE"""),"China")</f>
        <v>China</v>
      </c>
      <c r="G678" s="5" t="str">
        <f>IFERROR(__xludf.DUMMYFUNCTION("""COMPUTED_VALUE"""),"Barley")</f>
        <v>Barley</v>
      </c>
      <c r="H678" s="6">
        <f>IFERROR(__xludf.DUMMYFUNCTION("""COMPUTED_VALUE"""),36850.0)</f>
        <v>36850</v>
      </c>
      <c r="I678" s="7">
        <f>IFERROR(__xludf.DUMMYFUNCTION("""COMPUTED_VALUE"""),44865.0)</f>
        <v>44865</v>
      </c>
      <c r="J678" s="7">
        <f>IFERROR(__xludf.DUMMYFUNCTION("""COMPUTED_VALUE"""),44867.0)</f>
        <v>44867</v>
      </c>
      <c r="K678" s="5" t="str">
        <f>IFERROR(__xludf.DUMMYFUNCTION("""COMPUTED_VALUE"""),"upper-middle-income")</f>
        <v>upper-middle-income</v>
      </c>
      <c r="L678" s="5" t="str">
        <f>IFERROR(__xludf.DUMMYFUNCTION("""COMPUTED_VALUE"""),"Marshall Islands")</f>
        <v>Marshall Islands</v>
      </c>
      <c r="M678" s="5" t="str">
        <f>IFERROR(__xludf.DUMMYFUNCTION("""COMPUTED_VALUE"""),"East Asia &amp; Pacific")</f>
        <v>East Asia &amp; Pacific</v>
      </c>
      <c r="N678" s="5" t="str">
        <f>IFERROR(__xludf.DUMMYFUNCTION("""COMPUTED_VALUE"""),"Asia-Pacific")</f>
        <v>Asia-Pacific</v>
      </c>
      <c r="O678" s="5" t="str">
        <f>IFERROR(__xludf.DUMMYFUNCTION("""COMPUTED_VALUE"""),"developing")</f>
        <v>developing</v>
      </c>
      <c r="P678" s="5"/>
      <c r="Q678" s="5"/>
    </row>
    <row r="679">
      <c r="A679" s="5" t="str">
        <f>IFERROR(__xludf.DUMMYFUNCTION("""COMPUTED_VALUE"""),"Outbound +")</f>
        <v>Outbound +</v>
      </c>
      <c r="B679" s="5">
        <f>IFERROR(__xludf.DUMMYFUNCTION("""COMPUTED_VALUE"""),418.0)</f>
        <v>418</v>
      </c>
      <c r="C679" s="5" t="str">
        <f>IFERROR(__xludf.DUMMYFUNCTION("""COMPUTED_VALUE"""),"CARAVOS HARMONY")</f>
        <v>CARAVOS HARMONY</v>
      </c>
      <c r="D679" s="5">
        <f>IFERROR(__xludf.DUMMYFUNCTION("""COMPUTED_VALUE"""),9595589.0)</f>
        <v>9595589</v>
      </c>
      <c r="E679" s="5" t="str">
        <f>IFERROR(__xludf.DUMMYFUNCTION("""COMPUTED_VALUE"""),"Chornomorsk")</f>
        <v>Chornomorsk</v>
      </c>
      <c r="F679" s="5" t="str">
        <f>IFERROR(__xludf.DUMMYFUNCTION("""COMPUTED_VALUE"""),"China")</f>
        <v>China</v>
      </c>
      <c r="G679" s="5" t="str">
        <f>IFERROR(__xludf.DUMMYFUNCTION("""COMPUTED_VALUE"""),"Sunflower meal")</f>
        <v>Sunflower meal</v>
      </c>
      <c r="H679" s="6">
        <f>IFERROR(__xludf.DUMMYFUNCTION("""COMPUTED_VALUE"""),27453.0)</f>
        <v>27453</v>
      </c>
      <c r="I679" s="7">
        <f>IFERROR(__xludf.DUMMYFUNCTION("""COMPUTED_VALUE"""),44865.0)</f>
        <v>44865</v>
      </c>
      <c r="J679" s="7">
        <f>IFERROR(__xludf.DUMMYFUNCTION("""COMPUTED_VALUE"""),44867.0)</f>
        <v>44867</v>
      </c>
      <c r="K679" s="5" t="str">
        <f>IFERROR(__xludf.DUMMYFUNCTION("""COMPUTED_VALUE"""),"upper-middle-income")</f>
        <v>upper-middle-income</v>
      </c>
      <c r="L679" s="5" t="str">
        <f>IFERROR(__xludf.DUMMYFUNCTION("""COMPUTED_VALUE"""),"Marshall Islands")</f>
        <v>Marshall Islands</v>
      </c>
      <c r="M679" s="5" t="str">
        <f>IFERROR(__xludf.DUMMYFUNCTION("""COMPUTED_VALUE"""),"East Asia &amp; Pacific")</f>
        <v>East Asia &amp; Pacific</v>
      </c>
      <c r="N679" s="5" t="str">
        <f>IFERROR(__xludf.DUMMYFUNCTION("""COMPUTED_VALUE"""),"Asia-Pacific")</f>
        <v>Asia-Pacific</v>
      </c>
      <c r="O679" s="5" t="str">
        <f>IFERROR(__xludf.DUMMYFUNCTION("""COMPUTED_VALUE"""),"developing")</f>
        <v>developing</v>
      </c>
      <c r="P679" s="5"/>
      <c r="Q679" s="5"/>
    </row>
    <row r="680">
      <c r="A680" s="5" t="str">
        <f>IFERROR(__xludf.DUMMYFUNCTION("""COMPUTED_VALUE"""),"Outbound")</f>
        <v>Outbound</v>
      </c>
      <c r="B680" s="5">
        <f>IFERROR(__xludf.DUMMYFUNCTION("""COMPUTED_VALUE"""),417.0)</f>
        <v>417</v>
      </c>
      <c r="C680" s="5" t="str">
        <f>IFERROR(__xludf.DUMMYFUNCTION("""COMPUTED_VALUE"""),"AMYNTOR")</f>
        <v>AMYNTOR</v>
      </c>
      <c r="D680" s="5">
        <f>IFERROR(__xludf.DUMMYFUNCTION("""COMPUTED_VALUE"""),9515656.0)</f>
        <v>9515656</v>
      </c>
      <c r="E680" s="5" t="str">
        <f>IFERROR(__xludf.DUMMYFUNCTION("""COMPUTED_VALUE"""),"Odesa")</f>
        <v>Odesa</v>
      </c>
      <c r="F680" s="5" t="str">
        <f>IFERROR(__xludf.DUMMYFUNCTION("""COMPUTED_VALUE"""),"Türkiye")</f>
        <v>Türkiye</v>
      </c>
      <c r="G680" s="5" t="str">
        <f>IFERROR(__xludf.DUMMYFUNCTION("""COMPUTED_VALUE"""),"Wheat")</f>
        <v>Wheat</v>
      </c>
      <c r="H680" s="6">
        <f>IFERROR(__xludf.DUMMYFUNCTION("""COMPUTED_VALUE"""),27000.0)</f>
        <v>27000</v>
      </c>
      <c r="I680" s="7">
        <f>IFERROR(__xludf.DUMMYFUNCTION("""COMPUTED_VALUE"""),44865.0)</f>
        <v>44865</v>
      </c>
      <c r="J680" s="7">
        <f>IFERROR(__xludf.DUMMYFUNCTION("""COMPUTED_VALUE"""),44874.0)</f>
        <v>44874</v>
      </c>
      <c r="K680" s="5" t="str">
        <f>IFERROR(__xludf.DUMMYFUNCTION("""COMPUTED_VALUE"""),"upper-middle-income")</f>
        <v>upper-middle-income</v>
      </c>
      <c r="L680" s="5" t="str">
        <f>IFERROR(__xludf.DUMMYFUNCTION("""COMPUTED_VALUE"""),"Marshall Islands")</f>
        <v>Marshall Islands</v>
      </c>
      <c r="M680" s="5" t="str">
        <f>IFERROR(__xludf.DUMMYFUNCTION("""COMPUTED_VALUE"""),"Europe &amp; Central Asia")</f>
        <v>Europe &amp; Central Asia</v>
      </c>
      <c r="N680" s="5" t="str">
        <f>IFERROR(__xludf.DUMMYFUNCTION("""COMPUTED_VALUE"""),"Asia-Pacific")</f>
        <v>Asia-Pacific</v>
      </c>
      <c r="O680" s="5" t="str">
        <f>IFERROR(__xludf.DUMMYFUNCTION("""COMPUTED_VALUE"""),"developing")</f>
        <v>developing</v>
      </c>
      <c r="P680" s="5"/>
      <c r="Q680" s="5"/>
    </row>
    <row r="681">
      <c r="A681" s="5" t="str">
        <f>IFERROR(__xludf.DUMMYFUNCTION("""COMPUTED_VALUE"""),"Outbound")</f>
        <v>Outbound</v>
      </c>
      <c r="B681" s="5">
        <f>IFERROR(__xludf.DUMMYFUNCTION("""COMPUTED_VALUE"""),416.0)</f>
        <v>416</v>
      </c>
      <c r="C681" s="5" t="str">
        <f>IFERROR(__xludf.DUMMYFUNCTION("""COMPUTED_VALUE"""),"ADMIRAL DE RIBAS")</f>
        <v>ADMIRAL DE RIBAS</v>
      </c>
      <c r="D681" s="5">
        <f>IFERROR(__xludf.DUMMYFUNCTION("""COMPUTED_VALUE"""),9106900.0)</f>
        <v>9106900</v>
      </c>
      <c r="E681" s="5" t="str">
        <f>IFERROR(__xludf.DUMMYFUNCTION("""COMPUTED_VALUE"""),"Yuzhny/Pivdennyi")</f>
        <v>Yuzhny/Pivdennyi</v>
      </c>
      <c r="F681" s="5" t="str">
        <f>IFERROR(__xludf.DUMMYFUNCTION("""COMPUTED_VALUE"""),"Türkiye")</f>
        <v>Türkiye</v>
      </c>
      <c r="G681" s="5" t="str">
        <f>IFERROR(__xludf.DUMMYFUNCTION("""COMPUTED_VALUE"""),"Sunflower meal")</f>
        <v>Sunflower meal</v>
      </c>
      <c r="H681" s="6">
        <f>IFERROR(__xludf.DUMMYFUNCTION("""COMPUTED_VALUE"""),2500.0)</f>
        <v>2500</v>
      </c>
      <c r="I681" s="7">
        <f>IFERROR(__xludf.DUMMYFUNCTION("""COMPUTED_VALUE"""),44865.0)</f>
        <v>44865</v>
      </c>
      <c r="J681" s="7">
        <f>IFERROR(__xludf.DUMMYFUNCTION("""COMPUTED_VALUE"""),44867.0)</f>
        <v>44867</v>
      </c>
      <c r="K681" s="5" t="str">
        <f>IFERROR(__xludf.DUMMYFUNCTION("""COMPUTED_VALUE"""),"upper-middle-income")</f>
        <v>upper-middle-income</v>
      </c>
      <c r="L681" s="5" t="str">
        <f>IFERROR(__xludf.DUMMYFUNCTION("""COMPUTED_VALUE"""),"Palau")</f>
        <v>Palau</v>
      </c>
      <c r="M681" s="5" t="str">
        <f>IFERROR(__xludf.DUMMYFUNCTION("""COMPUTED_VALUE"""),"Europe &amp; Central Asia")</f>
        <v>Europe &amp; Central Asia</v>
      </c>
      <c r="N681" s="5" t="str">
        <f>IFERROR(__xludf.DUMMYFUNCTION("""COMPUTED_VALUE"""),"Asia-Pacific")</f>
        <v>Asia-Pacific</v>
      </c>
      <c r="O681" s="5" t="str">
        <f>IFERROR(__xludf.DUMMYFUNCTION("""COMPUTED_VALUE"""),"developing")</f>
        <v>developing</v>
      </c>
      <c r="P681" s="5"/>
      <c r="Q681" s="5"/>
    </row>
    <row r="682">
      <c r="A682" s="5" t="str">
        <f>IFERROR(__xludf.DUMMYFUNCTION("""COMPUTED_VALUE"""),"Outbound")</f>
        <v>Outbound</v>
      </c>
      <c r="B682" s="5">
        <f>IFERROR(__xludf.DUMMYFUNCTION("""COMPUTED_VALUE"""),415.0)</f>
        <v>415</v>
      </c>
      <c r="C682" s="5" t="str">
        <f>IFERROR(__xludf.DUMMYFUNCTION("""COMPUTED_VALUE"""),"SK FRIENDSHIP")</f>
        <v>SK FRIENDSHIP</v>
      </c>
      <c r="D682" s="5">
        <f>IFERROR(__xludf.DUMMYFUNCTION("""COMPUTED_VALUE"""),8909446.0)</f>
        <v>8909446</v>
      </c>
      <c r="E682" s="5" t="str">
        <f>IFERROR(__xludf.DUMMYFUNCTION("""COMPUTED_VALUE"""),"Chornomorsk")</f>
        <v>Chornomorsk</v>
      </c>
      <c r="F682" s="5" t="str">
        <f>IFERROR(__xludf.DUMMYFUNCTION("""COMPUTED_VALUE"""),"Egypt")</f>
        <v>Egypt</v>
      </c>
      <c r="G682" s="5" t="str">
        <f>IFERROR(__xludf.DUMMYFUNCTION("""COMPUTED_VALUE"""),"Soya beans")</f>
        <v>Soya beans</v>
      </c>
      <c r="H682" s="6">
        <f>IFERROR(__xludf.DUMMYFUNCTION("""COMPUTED_VALUE"""),6600.0)</f>
        <v>6600</v>
      </c>
      <c r="I682" s="7">
        <f>IFERROR(__xludf.DUMMYFUNCTION("""COMPUTED_VALUE"""),44864.0)</f>
        <v>44864</v>
      </c>
      <c r="J682" s="7">
        <f>IFERROR(__xludf.DUMMYFUNCTION("""COMPUTED_VALUE"""),44875.0)</f>
        <v>44875</v>
      </c>
      <c r="K682" s="5" t="str">
        <f>IFERROR(__xludf.DUMMYFUNCTION("""COMPUTED_VALUE"""),"lower-middle income")</f>
        <v>lower-middle income</v>
      </c>
      <c r="L682" s="5" t="str">
        <f>IFERROR(__xludf.DUMMYFUNCTION("""COMPUTED_VALUE"""),"Togo")</f>
        <v>Togo</v>
      </c>
      <c r="M682" s="5" t="str">
        <f>IFERROR(__xludf.DUMMYFUNCTION("""COMPUTED_VALUE"""),"Middle East &amp; North Africa")</f>
        <v>Middle East &amp; North Africa</v>
      </c>
      <c r="N682" s="5" t="str">
        <f>IFERROR(__xludf.DUMMYFUNCTION("""COMPUTED_VALUE"""),"Africa")</f>
        <v>Africa</v>
      </c>
      <c r="O682" s="5" t="str">
        <f>IFERROR(__xludf.DUMMYFUNCTION("""COMPUTED_VALUE"""),"developing")</f>
        <v>developing</v>
      </c>
      <c r="P682" s="5"/>
      <c r="Q682" s="5"/>
    </row>
    <row r="683">
      <c r="A683" s="5" t="str">
        <f>IFERROR(__xludf.DUMMYFUNCTION("""COMPUTED_VALUE"""),"Outbound")</f>
        <v>Outbound</v>
      </c>
      <c r="B683" s="5">
        <f>IFERROR(__xludf.DUMMYFUNCTION("""COMPUTED_VALUE"""),414.0)</f>
        <v>414</v>
      </c>
      <c r="C683" s="5" t="str">
        <f>IFERROR(__xludf.DUMMYFUNCTION("""COMPUTED_VALUE"""),"SEALOCK")</f>
        <v>SEALOCK</v>
      </c>
      <c r="D683" s="5">
        <f>IFERROR(__xludf.DUMMYFUNCTION("""COMPUTED_VALUE"""),8218380.0)</f>
        <v>8218380</v>
      </c>
      <c r="E683" s="5" t="str">
        <f>IFERROR(__xludf.DUMMYFUNCTION("""COMPUTED_VALUE"""),"Chornomorsk")</f>
        <v>Chornomorsk</v>
      </c>
      <c r="F683" s="5" t="str">
        <f>IFERROR(__xludf.DUMMYFUNCTION("""COMPUTED_VALUE"""),"Türkiye")</f>
        <v>Türkiye</v>
      </c>
      <c r="G683" s="5" t="str">
        <f>IFERROR(__xludf.DUMMYFUNCTION("""COMPUTED_VALUE"""),"Peas")</f>
        <v>Peas</v>
      </c>
      <c r="H683" s="6">
        <f>IFERROR(__xludf.DUMMYFUNCTION("""COMPUTED_VALUE"""),2050.0)</f>
        <v>2050</v>
      </c>
      <c r="I683" s="7">
        <f>IFERROR(__xludf.DUMMYFUNCTION("""COMPUTED_VALUE"""),44864.0)</f>
        <v>44864</v>
      </c>
      <c r="J683" s="7">
        <f>IFERROR(__xludf.DUMMYFUNCTION("""COMPUTED_VALUE"""),44868.0)</f>
        <v>44868</v>
      </c>
      <c r="K683" s="5" t="str">
        <f>IFERROR(__xludf.DUMMYFUNCTION("""COMPUTED_VALUE"""),"upper-middle-income")</f>
        <v>upper-middle-income</v>
      </c>
      <c r="L683" s="5" t="str">
        <f>IFERROR(__xludf.DUMMYFUNCTION("""COMPUTED_VALUE"""),"Tanzania")</f>
        <v>Tanzania</v>
      </c>
      <c r="M683" s="5" t="str">
        <f>IFERROR(__xludf.DUMMYFUNCTION("""COMPUTED_VALUE"""),"Europe &amp; Central Asia")</f>
        <v>Europe &amp; Central Asia</v>
      </c>
      <c r="N683" s="5" t="str">
        <f>IFERROR(__xludf.DUMMYFUNCTION("""COMPUTED_VALUE"""),"Asia-Pacific")</f>
        <v>Asia-Pacific</v>
      </c>
      <c r="O683" s="5" t="str">
        <f>IFERROR(__xludf.DUMMYFUNCTION("""COMPUTED_VALUE"""),"developing")</f>
        <v>developing</v>
      </c>
      <c r="P683" s="5"/>
      <c r="Q683" s="5"/>
    </row>
    <row r="684">
      <c r="A684" s="5" t="str">
        <f>IFERROR(__xludf.DUMMYFUNCTION("""COMPUTED_VALUE"""),"Outbound")</f>
        <v>Outbound</v>
      </c>
      <c r="B684" s="5">
        <f>IFERROR(__xludf.DUMMYFUNCTION("""COMPUTED_VALUE"""),413.0)</f>
        <v>413</v>
      </c>
      <c r="C684" s="5" t="str">
        <f>IFERROR(__xludf.DUMMYFUNCTION("""COMPUTED_VALUE"""),"NIKOLAOS A")</f>
        <v>NIKOLAOS A</v>
      </c>
      <c r="D684" s="5">
        <f>IFERROR(__xludf.DUMMYFUNCTION("""COMPUTED_VALUE"""),9493949.0)</f>
        <v>9493949</v>
      </c>
      <c r="E684" s="5" t="str">
        <f>IFERROR(__xludf.DUMMYFUNCTION("""COMPUTED_VALUE"""),"Chornomorsk")</f>
        <v>Chornomorsk</v>
      </c>
      <c r="F684" s="5" t="str">
        <f>IFERROR(__xludf.DUMMYFUNCTION("""COMPUTED_VALUE"""),"United Kingdom")</f>
        <v>United Kingdom</v>
      </c>
      <c r="G684" s="5" t="str">
        <f>IFERROR(__xludf.DUMMYFUNCTION("""COMPUTED_VALUE"""),"Rapeseed")</f>
        <v>Rapeseed</v>
      </c>
      <c r="H684" s="6">
        <f>IFERROR(__xludf.DUMMYFUNCTION("""COMPUTED_VALUE"""),46141.0)</f>
        <v>46141</v>
      </c>
      <c r="I684" s="7">
        <f>IFERROR(__xludf.DUMMYFUNCTION("""COMPUTED_VALUE"""),44864.0)</f>
        <v>44864</v>
      </c>
      <c r="J684" s="7">
        <f>IFERROR(__xludf.DUMMYFUNCTION("""COMPUTED_VALUE"""),44868.0)</f>
        <v>44868</v>
      </c>
      <c r="K684" s="5" t="str">
        <f>IFERROR(__xludf.DUMMYFUNCTION("""COMPUTED_VALUE"""),"high-income")</f>
        <v>high-income</v>
      </c>
      <c r="L684" s="5" t="str">
        <f>IFERROR(__xludf.DUMMYFUNCTION("""COMPUTED_VALUE"""),"Marshall Islands")</f>
        <v>Marshall Islands</v>
      </c>
      <c r="M684" s="5" t="str">
        <f>IFERROR(__xludf.DUMMYFUNCTION("""COMPUTED_VALUE"""),"Europe &amp; Central Asia")</f>
        <v>Europe &amp; Central Asia</v>
      </c>
      <c r="N684" s="5" t="str">
        <f>IFERROR(__xludf.DUMMYFUNCTION("""COMPUTED_VALUE"""),"Western Europe and Others")</f>
        <v>Western Europe and Others</v>
      </c>
      <c r="O684" s="5" t="str">
        <f>IFERROR(__xludf.DUMMYFUNCTION("""COMPUTED_VALUE"""),"developed")</f>
        <v>developed</v>
      </c>
      <c r="P684" s="5"/>
      <c r="Q684" s="5"/>
    </row>
    <row r="685">
      <c r="A685" s="5" t="str">
        <f>IFERROR(__xludf.DUMMYFUNCTION("""COMPUTED_VALUE"""),"Outbound")</f>
        <v>Outbound</v>
      </c>
      <c r="B685" s="5">
        <f>IFERROR(__xludf.DUMMYFUNCTION("""COMPUTED_VALUE"""),412.0)</f>
        <v>412</v>
      </c>
      <c r="C685" s="5" t="str">
        <f>IFERROR(__xludf.DUMMYFUNCTION("""COMPUTED_VALUE"""),"IKARIA ANGEL (WFP)")</f>
        <v>IKARIA ANGEL (WFP)</v>
      </c>
      <c r="D685" s="5">
        <f>IFERROR(__xludf.DUMMYFUNCTION("""COMPUTED_VALUE"""),9194397.0)</f>
        <v>9194397</v>
      </c>
      <c r="E685" s="5" t="str">
        <f>IFERROR(__xludf.DUMMYFUNCTION("""COMPUTED_VALUE"""),"Chornomorsk")</f>
        <v>Chornomorsk</v>
      </c>
      <c r="F685" s="5" t="str">
        <f>IFERROR(__xludf.DUMMYFUNCTION("""COMPUTED_VALUE"""),"Ethiopia")</f>
        <v>Ethiopia</v>
      </c>
      <c r="G685" s="5" t="str">
        <f>IFERROR(__xludf.DUMMYFUNCTION("""COMPUTED_VALUE"""),"Wheat")</f>
        <v>Wheat</v>
      </c>
      <c r="H685" s="6">
        <f>IFERROR(__xludf.DUMMYFUNCTION("""COMPUTED_VALUE"""),30000.0)</f>
        <v>30000</v>
      </c>
      <c r="I685" s="7">
        <f>IFERROR(__xludf.DUMMYFUNCTION("""COMPUTED_VALUE"""),44864.0)</f>
        <v>44864</v>
      </c>
      <c r="J685" s="7">
        <f>IFERROR(__xludf.DUMMYFUNCTION("""COMPUTED_VALUE"""),44875.0)</f>
        <v>44875</v>
      </c>
      <c r="K685" s="5" t="str">
        <f>IFERROR(__xludf.DUMMYFUNCTION("""COMPUTED_VALUE"""),"low-income")</f>
        <v>low-income</v>
      </c>
      <c r="L685" s="5" t="str">
        <f>IFERROR(__xludf.DUMMYFUNCTION("""COMPUTED_VALUE"""),"Panama")</f>
        <v>Panama</v>
      </c>
      <c r="M685" s="5" t="str">
        <f>IFERROR(__xludf.DUMMYFUNCTION("""COMPUTED_VALUE"""),"Sub-Saharan Africa")</f>
        <v>Sub-Saharan Africa</v>
      </c>
      <c r="N685" s="5" t="str">
        <f>IFERROR(__xludf.DUMMYFUNCTION("""COMPUTED_VALUE"""),"Africa")</f>
        <v>Africa</v>
      </c>
      <c r="O685" s="5" t="str">
        <f>IFERROR(__xludf.DUMMYFUNCTION("""COMPUTED_VALUE"""),"developing")</f>
        <v>developing</v>
      </c>
      <c r="P685" s="5" t="str">
        <f>IFERROR(__xludf.DUMMYFUNCTION("""COMPUTED_VALUE"""),"WFP")</f>
        <v>WFP</v>
      </c>
      <c r="Q685" s="5"/>
    </row>
    <row r="686">
      <c r="A686" s="5" t="str">
        <f>IFERROR(__xludf.DUMMYFUNCTION("""COMPUTED_VALUE"""),"Outbound")</f>
        <v>Outbound</v>
      </c>
      <c r="B686" s="5">
        <f>IFERROR(__xludf.DUMMYFUNCTION("""COMPUTED_VALUE"""),411.0)</f>
        <v>411</v>
      </c>
      <c r="C686" s="5" t="str">
        <f>IFERROR(__xludf.DUMMYFUNCTION("""COMPUTED_VALUE"""),"DESPINA V")</f>
        <v>DESPINA V</v>
      </c>
      <c r="D686" s="5">
        <f>IFERROR(__xludf.DUMMYFUNCTION("""COMPUTED_VALUE"""),9727986.0)</f>
        <v>9727986</v>
      </c>
      <c r="E686" s="5" t="str">
        <f>IFERROR(__xludf.DUMMYFUNCTION("""COMPUTED_VALUE"""),"Yuzhny/Pivdennyi")</f>
        <v>Yuzhny/Pivdennyi</v>
      </c>
      <c r="F686" s="5" t="str">
        <f>IFERROR(__xludf.DUMMYFUNCTION("""COMPUTED_VALUE"""),"The Netherlands")</f>
        <v>The Netherlands</v>
      </c>
      <c r="G686" s="5" t="str">
        <f>IFERROR(__xludf.DUMMYFUNCTION("""COMPUTED_VALUE"""),"Corn")</f>
        <v>Corn</v>
      </c>
      <c r="H686" s="6">
        <f>IFERROR(__xludf.DUMMYFUNCTION("""COMPUTED_VALUE"""),71135.0)</f>
        <v>71135</v>
      </c>
      <c r="I686" s="7">
        <f>IFERROR(__xludf.DUMMYFUNCTION("""COMPUTED_VALUE"""),44864.0)</f>
        <v>44864</v>
      </c>
      <c r="J686" s="7">
        <f>IFERROR(__xludf.DUMMYFUNCTION("""COMPUTED_VALUE"""),44867.0)</f>
        <v>44867</v>
      </c>
      <c r="K686" s="5" t="str">
        <f>IFERROR(__xludf.DUMMYFUNCTION("""COMPUTED_VALUE"""),"high-income")</f>
        <v>high-income</v>
      </c>
      <c r="L686" s="5" t="str">
        <f>IFERROR(__xludf.DUMMYFUNCTION("""COMPUTED_VALUE"""),"Panama")</f>
        <v>Panama</v>
      </c>
      <c r="M686" s="5" t="str">
        <f>IFERROR(__xludf.DUMMYFUNCTION("""COMPUTED_VALUE"""),"Europe &amp; Central Asia")</f>
        <v>Europe &amp; Central Asia</v>
      </c>
      <c r="N686" s="5" t="str">
        <f>IFERROR(__xludf.DUMMYFUNCTION("""COMPUTED_VALUE"""),"Western Europe and Others")</f>
        <v>Western Europe and Others</v>
      </c>
      <c r="O686" s="5" t="str">
        <f>IFERROR(__xludf.DUMMYFUNCTION("""COMPUTED_VALUE"""),"developed")</f>
        <v>developed</v>
      </c>
      <c r="P686" s="5"/>
      <c r="Q686" s="5"/>
    </row>
    <row r="687">
      <c r="A687" s="5" t="str">
        <f>IFERROR(__xludf.DUMMYFUNCTION("""COMPUTED_VALUE"""),"Outbound")</f>
        <v>Outbound</v>
      </c>
      <c r="B687" s="5">
        <f>IFERROR(__xludf.DUMMYFUNCTION("""COMPUTED_VALUE"""),410.0)</f>
        <v>410</v>
      </c>
      <c r="C687" s="5" t="str">
        <f>IFERROR(__xludf.DUMMYFUNCTION("""COMPUTED_VALUE"""),"AFRICAN ROBIN")</f>
        <v>AFRICAN ROBIN</v>
      </c>
      <c r="D687" s="5">
        <f>IFERROR(__xludf.DUMMYFUNCTION("""COMPUTED_VALUE"""),9317767.0)</f>
        <v>9317767</v>
      </c>
      <c r="E687" s="5" t="str">
        <f>IFERROR(__xludf.DUMMYFUNCTION("""COMPUTED_VALUE"""),"Odesa")</f>
        <v>Odesa</v>
      </c>
      <c r="F687" s="5" t="str">
        <f>IFERROR(__xludf.DUMMYFUNCTION("""COMPUTED_VALUE"""),"Algeria")</f>
        <v>Algeria</v>
      </c>
      <c r="G687" s="5" t="str">
        <f>IFERROR(__xludf.DUMMYFUNCTION("""COMPUTED_VALUE"""),"Wheat")</f>
        <v>Wheat</v>
      </c>
      <c r="H687" s="6">
        <f>IFERROR(__xludf.DUMMYFUNCTION("""COMPUTED_VALUE"""),30500.0)</f>
        <v>30500</v>
      </c>
      <c r="I687" s="7">
        <f>IFERROR(__xludf.DUMMYFUNCTION("""COMPUTED_VALUE"""),44864.0)</f>
        <v>44864</v>
      </c>
      <c r="J687" s="7">
        <f>IFERROR(__xludf.DUMMYFUNCTION("""COMPUTED_VALUE"""),44874.0)</f>
        <v>44874</v>
      </c>
      <c r="K687" s="5" t="str">
        <f>IFERROR(__xludf.DUMMYFUNCTION("""COMPUTED_VALUE"""),"lower-middle income")</f>
        <v>lower-middle income</v>
      </c>
      <c r="L687" s="5" t="str">
        <f>IFERROR(__xludf.DUMMYFUNCTION("""COMPUTED_VALUE"""),"Bahamas")</f>
        <v>Bahamas</v>
      </c>
      <c r="M687" s="5" t="str">
        <f>IFERROR(__xludf.DUMMYFUNCTION("""COMPUTED_VALUE"""),"Middle East &amp; North Africa")</f>
        <v>Middle East &amp; North Africa</v>
      </c>
      <c r="N687" s="5" t="str">
        <f>IFERROR(__xludf.DUMMYFUNCTION("""COMPUTED_VALUE"""),"Africa")</f>
        <v>Africa</v>
      </c>
      <c r="O687" s="5" t="str">
        <f>IFERROR(__xludf.DUMMYFUNCTION("""COMPUTED_VALUE"""),"developing")</f>
        <v>developing</v>
      </c>
      <c r="P687" s="5"/>
      <c r="Q687" s="5"/>
    </row>
    <row r="688">
      <c r="A688" s="5" t="str">
        <f>IFERROR(__xludf.DUMMYFUNCTION("""COMPUTED_VALUE"""),"Outbound")</f>
        <v>Outbound</v>
      </c>
      <c r="B688" s="5">
        <f>IFERROR(__xludf.DUMMYFUNCTION("""COMPUTED_VALUE"""),409.0)</f>
        <v>409</v>
      </c>
      <c r="C688" s="5" t="str">
        <f>IFERROR(__xludf.DUMMYFUNCTION("""COMPUTED_VALUE"""),"ST SOFIA")</f>
        <v>ST SOFIA</v>
      </c>
      <c r="D688" s="5">
        <f>IFERROR(__xludf.DUMMYFUNCTION("""COMPUTED_VALUE"""),9799630.0)</f>
        <v>9799630</v>
      </c>
      <c r="E688" s="5" t="str">
        <f>IFERROR(__xludf.DUMMYFUNCTION("""COMPUTED_VALUE"""),"Odesa")</f>
        <v>Odesa</v>
      </c>
      <c r="F688" s="5" t="str">
        <f>IFERROR(__xludf.DUMMYFUNCTION("""COMPUTED_VALUE"""),"Spain")</f>
        <v>Spain</v>
      </c>
      <c r="G688" s="5" t="str">
        <f>IFERROR(__xludf.DUMMYFUNCTION("""COMPUTED_VALUE"""),"Corn")</f>
        <v>Corn</v>
      </c>
      <c r="H688" s="6">
        <f>IFERROR(__xludf.DUMMYFUNCTION("""COMPUTED_VALUE"""),45000.0)</f>
        <v>45000</v>
      </c>
      <c r="I688" s="7">
        <f>IFERROR(__xludf.DUMMYFUNCTION("""COMPUTED_VALUE"""),44863.0)</f>
        <v>44863</v>
      </c>
      <c r="J688" s="7">
        <f>IFERROR(__xludf.DUMMYFUNCTION("""COMPUTED_VALUE"""),44867.0)</f>
        <v>44867</v>
      </c>
      <c r="K688" s="5" t="str">
        <f>IFERROR(__xludf.DUMMYFUNCTION("""COMPUTED_VALUE"""),"high-income")</f>
        <v>high-income</v>
      </c>
      <c r="L688" s="5" t="str">
        <f>IFERROR(__xludf.DUMMYFUNCTION("""COMPUTED_VALUE"""),"Malta")</f>
        <v>Malta</v>
      </c>
      <c r="M688" s="5" t="str">
        <f>IFERROR(__xludf.DUMMYFUNCTION("""COMPUTED_VALUE"""),"Europe &amp; Central Asia")</f>
        <v>Europe &amp; Central Asia</v>
      </c>
      <c r="N688" s="5" t="str">
        <f>IFERROR(__xludf.DUMMYFUNCTION("""COMPUTED_VALUE"""),"Western Europe and Others")</f>
        <v>Western Europe and Others</v>
      </c>
      <c r="O688" s="5" t="str">
        <f>IFERROR(__xludf.DUMMYFUNCTION("""COMPUTED_VALUE"""),"developed")</f>
        <v>developed</v>
      </c>
      <c r="P688" s="5"/>
      <c r="Q688" s="5"/>
    </row>
    <row r="689">
      <c r="A689" s="5" t="str">
        <f>IFERROR(__xludf.DUMMYFUNCTION("""COMPUTED_VALUE"""),"Outbound +")</f>
        <v>Outbound +</v>
      </c>
      <c r="B689" s="5">
        <f>IFERROR(__xludf.DUMMYFUNCTION("""COMPUTED_VALUE"""),409.0)</f>
        <v>409</v>
      </c>
      <c r="C689" s="5" t="str">
        <f>IFERROR(__xludf.DUMMYFUNCTION("""COMPUTED_VALUE"""),"ST SOFIA")</f>
        <v>ST SOFIA</v>
      </c>
      <c r="D689" s="5">
        <f>IFERROR(__xludf.DUMMYFUNCTION("""COMPUTED_VALUE"""),9799630.0)</f>
        <v>9799630</v>
      </c>
      <c r="E689" s="5" t="str">
        <f>IFERROR(__xludf.DUMMYFUNCTION("""COMPUTED_VALUE"""),"Odesa")</f>
        <v>Odesa</v>
      </c>
      <c r="F689" s="5" t="str">
        <f>IFERROR(__xludf.DUMMYFUNCTION("""COMPUTED_VALUE"""),"Spain")</f>
        <v>Spain</v>
      </c>
      <c r="G689" s="5" t="str">
        <f>IFERROR(__xludf.DUMMYFUNCTION("""COMPUTED_VALUE"""),"Barley")</f>
        <v>Barley</v>
      </c>
      <c r="H689" s="6">
        <f>IFERROR(__xludf.DUMMYFUNCTION("""COMPUTED_VALUE"""),11000.0)</f>
        <v>11000</v>
      </c>
      <c r="I689" s="7">
        <f>IFERROR(__xludf.DUMMYFUNCTION("""COMPUTED_VALUE"""),44863.0)</f>
        <v>44863</v>
      </c>
      <c r="J689" s="7">
        <f>IFERROR(__xludf.DUMMYFUNCTION("""COMPUTED_VALUE"""),44867.0)</f>
        <v>44867</v>
      </c>
      <c r="K689" s="5" t="str">
        <f>IFERROR(__xludf.DUMMYFUNCTION("""COMPUTED_VALUE"""),"high-income")</f>
        <v>high-income</v>
      </c>
      <c r="L689" s="5" t="str">
        <f>IFERROR(__xludf.DUMMYFUNCTION("""COMPUTED_VALUE"""),"Malta")</f>
        <v>Malta</v>
      </c>
      <c r="M689" s="5" t="str">
        <f>IFERROR(__xludf.DUMMYFUNCTION("""COMPUTED_VALUE"""),"Europe &amp; Central Asia")</f>
        <v>Europe &amp; Central Asia</v>
      </c>
      <c r="N689" s="5" t="str">
        <f>IFERROR(__xludf.DUMMYFUNCTION("""COMPUTED_VALUE"""),"Western Europe and Others")</f>
        <v>Western Europe and Others</v>
      </c>
      <c r="O689" s="5" t="str">
        <f>IFERROR(__xludf.DUMMYFUNCTION("""COMPUTED_VALUE"""),"developed")</f>
        <v>developed</v>
      </c>
      <c r="P689" s="5"/>
      <c r="Q689" s="5"/>
    </row>
    <row r="690">
      <c r="A690" s="5" t="str">
        <f>IFERROR(__xludf.DUMMYFUNCTION("""COMPUTED_VALUE"""),"Outbound")</f>
        <v>Outbound</v>
      </c>
      <c r="B690" s="5">
        <f>IFERROR(__xludf.DUMMYFUNCTION("""COMPUTED_VALUE"""),408.0)</f>
        <v>408</v>
      </c>
      <c r="C690" s="5" t="str">
        <f>IFERROR(__xludf.DUMMYFUNCTION("""COMPUTED_VALUE"""),"RUBYMAR")</f>
        <v>RUBYMAR</v>
      </c>
      <c r="D690" s="5">
        <f>IFERROR(__xludf.DUMMYFUNCTION("""COMPUTED_VALUE"""),9138898.0)</f>
        <v>9138898</v>
      </c>
      <c r="E690" s="5" t="str">
        <f>IFERROR(__xludf.DUMMYFUNCTION("""COMPUTED_VALUE"""),"Yuzhny/Pivdennyi")</f>
        <v>Yuzhny/Pivdennyi</v>
      </c>
      <c r="F690" s="5" t="str">
        <f>IFERROR(__xludf.DUMMYFUNCTION("""COMPUTED_VALUE"""),"Türkiye")</f>
        <v>Türkiye</v>
      </c>
      <c r="G690" s="5" t="str">
        <f>IFERROR(__xludf.DUMMYFUNCTION("""COMPUTED_VALUE"""),"Corn")</f>
        <v>Corn</v>
      </c>
      <c r="H690" s="6">
        <f>IFERROR(__xludf.DUMMYFUNCTION("""COMPUTED_VALUE"""),29600.0)</f>
        <v>29600</v>
      </c>
      <c r="I690" s="7">
        <f>IFERROR(__xludf.DUMMYFUNCTION("""COMPUTED_VALUE"""),44863.0)</f>
        <v>44863</v>
      </c>
      <c r="J690" s="7">
        <f>IFERROR(__xludf.DUMMYFUNCTION("""COMPUTED_VALUE"""),44866.0)</f>
        <v>44866</v>
      </c>
      <c r="K690" s="5" t="str">
        <f>IFERROR(__xludf.DUMMYFUNCTION("""COMPUTED_VALUE"""),"upper-middle-income")</f>
        <v>upper-middle-income</v>
      </c>
      <c r="L690" s="5" t="str">
        <f>IFERROR(__xludf.DUMMYFUNCTION("""COMPUTED_VALUE"""),"Belize")</f>
        <v>Belize</v>
      </c>
      <c r="M690" s="5" t="str">
        <f>IFERROR(__xludf.DUMMYFUNCTION("""COMPUTED_VALUE"""),"Europe &amp; Central Asia")</f>
        <v>Europe &amp; Central Asia</v>
      </c>
      <c r="N690" s="5" t="str">
        <f>IFERROR(__xludf.DUMMYFUNCTION("""COMPUTED_VALUE"""),"Asia-Pacific")</f>
        <v>Asia-Pacific</v>
      </c>
      <c r="O690" s="5" t="str">
        <f>IFERROR(__xludf.DUMMYFUNCTION("""COMPUTED_VALUE"""),"developing")</f>
        <v>developing</v>
      </c>
      <c r="P690" s="5"/>
      <c r="Q690" s="5"/>
    </row>
    <row r="691">
      <c r="A691" s="5" t="str">
        <f>IFERROR(__xludf.DUMMYFUNCTION("""COMPUTED_VALUE"""),"Outbound")</f>
        <v>Outbound</v>
      </c>
      <c r="B691" s="5">
        <f>IFERROR(__xludf.DUMMYFUNCTION("""COMPUTED_VALUE"""),407.0)</f>
        <v>407</v>
      </c>
      <c r="C691" s="5" t="str">
        <f>IFERROR(__xludf.DUMMYFUNCTION("""COMPUTED_VALUE"""),"MONTARA")</f>
        <v>MONTARA</v>
      </c>
      <c r="D691" s="5">
        <f>IFERROR(__xludf.DUMMYFUNCTION("""COMPUTED_VALUE"""),9234202.0)</f>
        <v>9234202</v>
      </c>
      <c r="E691" s="5" t="str">
        <f>IFERROR(__xludf.DUMMYFUNCTION("""COMPUTED_VALUE"""),"Odesa")</f>
        <v>Odesa</v>
      </c>
      <c r="F691" s="5" t="str">
        <f>IFERROR(__xludf.DUMMYFUNCTION("""COMPUTED_VALUE"""),"Türkiye")</f>
        <v>Türkiye</v>
      </c>
      <c r="G691" s="5" t="str">
        <f>IFERROR(__xludf.DUMMYFUNCTION("""COMPUTED_VALUE"""),"Corn")</f>
        <v>Corn</v>
      </c>
      <c r="H691" s="6">
        <f>IFERROR(__xludf.DUMMYFUNCTION("""COMPUTED_VALUE"""),3200.0)</f>
        <v>3200</v>
      </c>
      <c r="I691" s="7">
        <f>IFERROR(__xludf.DUMMYFUNCTION("""COMPUTED_VALUE"""),44863.0)</f>
        <v>44863</v>
      </c>
      <c r="J691" s="7">
        <f>IFERROR(__xludf.DUMMYFUNCTION("""COMPUTED_VALUE"""),44866.0)</f>
        <v>44866</v>
      </c>
      <c r="K691" s="5" t="str">
        <f>IFERROR(__xludf.DUMMYFUNCTION("""COMPUTED_VALUE"""),"upper-middle-income")</f>
        <v>upper-middle-income</v>
      </c>
      <c r="L691" s="5" t="str">
        <f>IFERROR(__xludf.DUMMYFUNCTION("""COMPUTED_VALUE"""),"Barbados")</f>
        <v>Barbados</v>
      </c>
      <c r="M691" s="5" t="str">
        <f>IFERROR(__xludf.DUMMYFUNCTION("""COMPUTED_VALUE"""),"Europe &amp; Central Asia")</f>
        <v>Europe &amp; Central Asia</v>
      </c>
      <c r="N691" s="5" t="str">
        <f>IFERROR(__xludf.DUMMYFUNCTION("""COMPUTED_VALUE"""),"Asia-Pacific")</f>
        <v>Asia-Pacific</v>
      </c>
      <c r="O691" s="5" t="str">
        <f>IFERROR(__xludf.DUMMYFUNCTION("""COMPUTED_VALUE"""),"developing")</f>
        <v>developing</v>
      </c>
      <c r="P691" s="5"/>
      <c r="Q691" s="5"/>
    </row>
    <row r="692">
      <c r="A692" s="5" t="str">
        <f>IFERROR(__xludf.DUMMYFUNCTION("""COMPUTED_VALUE"""),"Outbound")</f>
        <v>Outbound</v>
      </c>
      <c r="B692" s="5">
        <f>IFERROR(__xludf.DUMMYFUNCTION("""COMPUTED_VALUE"""),406.0)</f>
        <v>406</v>
      </c>
      <c r="C692" s="5" t="str">
        <f>IFERROR(__xludf.DUMMYFUNCTION("""COMPUTED_VALUE"""),"CAPTAIN ADAM 1")</f>
        <v>CAPTAIN ADAM 1</v>
      </c>
      <c r="D692" s="5">
        <f>IFERROR(__xludf.DUMMYFUNCTION("""COMPUTED_VALUE"""),8914087.0)</f>
        <v>8914087</v>
      </c>
      <c r="E692" s="5" t="str">
        <f>IFERROR(__xludf.DUMMYFUNCTION("""COMPUTED_VALUE"""),"Chornomorsk")</f>
        <v>Chornomorsk</v>
      </c>
      <c r="F692" s="5" t="str">
        <f>IFERROR(__xludf.DUMMYFUNCTION("""COMPUTED_VALUE"""),"Italy")</f>
        <v>Italy</v>
      </c>
      <c r="G692" s="5" t="str">
        <f>IFERROR(__xludf.DUMMYFUNCTION("""COMPUTED_VALUE"""),"Soya beans")</f>
        <v>Soya beans</v>
      </c>
      <c r="H692" s="6">
        <f>IFERROR(__xludf.DUMMYFUNCTION("""COMPUTED_VALUE"""),6600.0)</f>
        <v>6600</v>
      </c>
      <c r="I692" s="7">
        <f>IFERROR(__xludf.DUMMYFUNCTION("""COMPUTED_VALUE"""),44863.0)</f>
        <v>44863</v>
      </c>
      <c r="J692" s="7">
        <f>IFERROR(__xludf.DUMMYFUNCTION("""COMPUTED_VALUE"""),44866.0)</f>
        <v>44866</v>
      </c>
      <c r="K692" s="5" t="str">
        <f>IFERROR(__xludf.DUMMYFUNCTION("""COMPUTED_VALUE"""),"high-income")</f>
        <v>high-income</v>
      </c>
      <c r="L692" s="5" t="str">
        <f>IFERROR(__xludf.DUMMYFUNCTION("""COMPUTED_VALUE"""),"Tanzania")</f>
        <v>Tanzania</v>
      </c>
      <c r="M692" s="5" t="str">
        <f>IFERROR(__xludf.DUMMYFUNCTION("""COMPUTED_VALUE"""),"Europe &amp; Central Asia")</f>
        <v>Europe &amp; Central Asia</v>
      </c>
      <c r="N692" s="5" t="str">
        <f>IFERROR(__xludf.DUMMYFUNCTION("""COMPUTED_VALUE"""),"Western Europe and Others")</f>
        <v>Western Europe and Others</v>
      </c>
      <c r="O692" s="5" t="str">
        <f>IFERROR(__xludf.DUMMYFUNCTION("""COMPUTED_VALUE"""),"developed")</f>
        <v>developed</v>
      </c>
      <c r="P692" s="5"/>
      <c r="Q692" s="5"/>
    </row>
    <row r="693">
      <c r="A693" s="5" t="str">
        <f>IFERROR(__xludf.DUMMYFUNCTION("""COMPUTED_VALUE"""),"Outbound")</f>
        <v>Outbound</v>
      </c>
      <c r="B693" s="5">
        <f>IFERROR(__xludf.DUMMYFUNCTION("""COMPUTED_VALUE"""),405.0)</f>
        <v>405</v>
      </c>
      <c r="C693" s="5" t="str">
        <f>IFERROR(__xludf.DUMMYFUNCTION("""COMPUTED_VALUE"""),"ZANTE")</f>
        <v>ZANTE</v>
      </c>
      <c r="D693" s="5">
        <f>IFERROR(__xludf.DUMMYFUNCTION("""COMPUTED_VALUE"""),9727168.0)</f>
        <v>9727168</v>
      </c>
      <c r="E693" s="5" t="str">
        <f>IFERROR(__xludf.DUMMYFUNCTION("""COMPUTED_VALUE"""),"Chornomorsk")</f>
        <v>Chornomorsk</v>
      </c>
      <c r="F693" s="5" t="str">
        <f>IFERROR(__xludf.DUMMYFUNCTION("""COMPUTED_VALUE"""),"Belgium")</f>
        <v>Belgium</v>
      </c>
      <c r="G693" s="5" t="str">
        <f>IFERROR(__xludf.DUMMYFUNCTION("""COMPUTED_VALUE"""),"Rapeseed")</f>
        <v>Rapeseed</v>
      </c>
      <c r="H693" s="6">
        <f>IFERROR(__xludf.DUMMYFUNCTION("""COMPUTED_VALUE"""),47270.0)</f>
        <v>47270</v>
      </c>
      <c r="I693" s="7">
        <f>IFERROR(__xludf.DUMMYFUNCTION("""COMPUTED_VALUE"""),44862.0)</f>
        <v>44862</v>
      </c>
      <c r="J693" s="7">
        <f>IFERROR(__xludf.DUMMYFUNCTION("""COMPUTED_VALUE"""),44866.0)</f>
        <v>44866</v>
      </c>
      <c r="K693" s="5" t="str">
        <f>IFERROR(__xludf.DUMMYFUNCTION("""COMPUTED_VALUE"""),"high-income")</f>
        <v>high-income</v>
      </c>
      <c r="L693" s="5" t="str">
        <f>IFERROR(__xludf.DUMMYFUNCTION("""COMPUTED_VALUE"""),"Malta")</f>
        <v>Malta</v>
      </c>
      <c r="M693" s="5" t="str">
        <f>IFERROR(__xludf.DUMMYFUNCTION("""COMPUTED_VALUE"""),"Europe &amp; Central Asia")</f>
        <v>Europe &amp; Central Asia</v>
      </c>
      <c r="N693" s="5" t="str">
        <f>IFERROR(__xludf.DUMMYFUNCTION("""COMPUTED_VALUE"""),"Western Europe and Others")</f>
        <v>Western Europe and Others</v>
      </c>
      <c r="O693" s="5" t="str">
        <f>IFERROR(__xludf.DUMMYFUNCTION("""COMPUTED_VALUE"""),"developed")</f>
        <v>developed</v>
      </c>
      <c r="P693" s="5"/>
      <c r="Q693" s="5"/>
    </row>
    <row r="694">
      <c r="A694" s="5" t="str">
        <f>IFERROR(__xludf.DUMMYFUNCTION("""COMPUTED_VALUE"""),"Outbound")</f>
        <v>Outbound</v>
      </c>
      <c r="B694" s="5">
        <f>IFERROR(__xludf.DUMMYFUNCTION("""COMPUTED_VALUE"""),404.0)</f>
        <v>404</v>
      </c>
      <c r="C694" s="5" t="str">
        <f>IFERROR(__xludf.DUMMYFUNCTION("""COMPUTED_VALUE"""),"SUPER BAYERN")</f>
        <v>SUPER BAYERN</v>
      </c>
      <c r="D694" s="5">
        <f>IFERROR(__xludf.DUMMYFUNCTION("""COMPUTED_VALUE"""),9278911.0)</f>
        <v>9278911</v>
      </c>
      <c r="E694" s="5" t="str">
        <f>IFERROR(__xludf.DUMMYFUNCTION("""COMPUTED_VALUE"""),"Chornomorsk")</f>
        <v>Chornomorsk</v>
      </c>
      <c r="F694" s="5" t="str">
        <f>IFERROR(__xludf.DUMMYFUNCTION("""COMPUTED_VALUE"""),"Italy")</f>
        <v>Italy</v>
      </c>
      <c r="G694" s="5" t="str">
        <f>IFERROR(__xludf.DUMMYFUNCTION("""COMPUTED_VALUE"""),"Corn")</f>
        <v>Corn</v>
      </c>
      <c r="H694" s="6">
        <f>IFERROR(__xludf.DUMMYFUNCTION("""COMPUTED_VALUE"""),33000.0)</f>
        <v>33000</v>
      </c>
      <c r="I694" s="7">
        <f>IFERROR(__xludf.DUMMYFUNCTION("""COMPUTED_VALUE"""),44862.0)</f>
        <v>44862</v>
      </c>
      <c r="J694" s="7">
        <f>IFERROR(__xludf.DUMMYFUNCTION("""COMPUTED_VALUE"""),44866.0)</f>
        <v>44866</v>
      </c>
      <c r="K694" s="5" t="str">
        <f>IFERROR(__xludf.DUMMYFUNCTION("""COMPUTED_VALUE"""),"high-income")</f>
        <v>high-income</v>
      </c>
      <c r="L694" s="5" t="str">
        <f>IFERROR(__xludf.DUMMYFUNCTION("""COMPUTED_VALUE"""),"Barbados")</f>
        <v>Barbados</v>
      </c>
      <c r="M694" s="5" t="str">
        <f>IFERROR(__xludf.DUMMYFUNCTION("""COMPUTED_VALUE"""),"Europe &amp; Central Asia")</f>
        <v>Europe &amp; Central Asia</v>
      </c>
      <c r="N694" s="5" t="str">
        <f>IFERROR(__xludf.DUMMYFUNCTION("""COMPUTED_VALUE"""),"Western Europe and Others")</f>
        <v>Western Europe and Others</v>
      </c>
      <c r="O694" s="5" t="str">
        <f>IFERROR(__xludf.DUMMYFUNCTION("""COMPUTED_VALUE"""),"developed")</f>
        <v>developed</v>
      </c>
      <c r="P694" s="5"/>
      <c r="Q694" s="5"/>
    </row>
    <row r="695">
      <c r="A695" s="5" t="str">
        <f>IFERROR(__xludf.DUMMYFUNCTION("""COMPUTED_VALUE"""),"Outbound")</f>
        <v>Outbound</v>
      </c>
      <c r="B695" s="5">
        <f>IFERROR(__xludf.DUMMYFUNCTION("""COMPUTED_VALUE"""),403.0)</f>
        <v>403</v>
      </c>
      <c r="C695" s="5" t="str">
        <f>IFERROR(__xludf.DUMMYFUNCTION("""COMPUTED_VALUE"""),"RISING EAGLE")</f>
        <v>RISING EAGLE</v>
      </c>
      <c r="D695" s="5">
        <f>IFERROR(__xludf.DUMMYFUNCTION("""COMPUTED_VALUE"""),9073672.0)</f>
        <v>9073672</v>
      </c>
      <c r="E695" s="5" t="str">
        <f>IFERROR(__xludf.DUMMYFUNCTION("""COMPUTED_VALUE"""),"Odesa")</f>
        <v>Odesa</v>
      </c>
      <c r="F695" s="5" t="str">
        <f>IFERROR(__xludf.DUMMYFUNCTION("""COMPUTED_VALUE"""),"Egypt")</f>
        <v>Egypt</v>
      </c>
      <c r="G695" s="5" t="str">
        <f>IFERROR(__xludf.DUMMYFUNCTION("""COMPUTED_VALUE"""),"Wheat")</f>
        <v>Wheat</v>
      </c>
      <c r="H695" s="6">
        <f>IFERROR(__xludf.DUMMYFUNCTION("""COMPUTED_VALUE"""),25000.0)</f>
        <v>25000</v>
      </c>
      <c r="I695" s="7">
        <f>IFERROR(__xludf.DUMMYFUNCTION("""COMPUTED_VALUE"""),44862.0)</f>
        <v>44862</v>
      </c>
      <c r="J695" s="7">
        <f>IFERROR(__xludf.DUMMYFUNCTION("""COMPUTED_VALUE"""),44873.0)</f>
        <v>44873</v>
      </c>
      <c r="K695" s="5" t="str">
        <f>IFERROR(__xludf.DUMMYFUNCTION("""COMPUTED_VALUE"""),"lower-middle income")</f>
        <v>lower-middle income</v>
      </c>
      <c r="L695" s="5" t="str">
        <f>IFERROR(__xludf.DUMMYFUNCTION("""COMPUTED_VALUE"""),"St. Vincent and the Grenadines")</f>
        <v>St. Vincent and the Grenadines</v>
      </c>
      <c r="M695" s="5" t="str">
        <f>IFERROR(__xludf.DUMMYFUNCTION("""COMPUTED_VALUE"""),"Middle East &amp; North Africa")</f>
        <v>Middle East &amp; North Africa</v>
      </c>
      <c r="N695" s="5" t="str">
        <f>IFERROR(__xludf.DUMMYFUNCTION("""COMPUTED_VALUE"""),"Africa")</f>
        <v>Africa</v>
      </c>
      <c r="O695" s="5" t="str">
        <f>IFERROR(__xludf.DUMMYFUNCTION("""COMPUTED_VALUE"""),"developing")</f>
        <v>developing</v>
      </c>
      <c r="P695" s="5"/>
      <c r="Q695" s="5"/>
    </row>
    <row r="696">
      <c r="A696" s="5" t="str">
        <f>IFERROR(__xludf.DUMMYFUNCTION("""COMPUTED_VALUE"""),"Outbound")</f>
        <v>Outbound</v>
      </c>
      <c r="B696" s="5">
        <f>IFERROR(__xludf.DUMMYFUNCTION("""COMPUTED_VALUE"""),402.0)</f>
        <v>402</v>
      </c>
      <c r="C696" s="5" t="str">
        <f>IFERROR(__xludf.DUMMYFUNCTION("""COMPUTED_VALUE"""),"LINA")</f>
        <v>LINA</v>
      </c>
      <c r="D696" s="5">
        <f>IFERROR(__xludf.DUMMYFUNCTION("""COMPUTED_VALUE"""),9117868.0)</f>
        <v>9117868</v>
      </c>
      <c r="E696" s="5" t="str">
        <f>IFERROR(__xludf.DUMMYFUNCTION("""COMPUTED_VALUE"""),"Chornomorsk")</f>
        <v>Chornomorsk</v>
      </c>
      <c r="F696" s="5" t="str">
        <f>IFERROR(__xludf.DUMMYFUNCTION("""COMPUTED_VALUE"""),"Egypt")</f>
        <v>Egypt</v>
      </c>
      <c r="G696" s="5" t="str">
        <f>IFERROR(__xludf.DUMMYFUNCTION("""COMPUTED_VALUE"""),"Corn")</f>
        <v>Corn</v>
      </c>
      <c r="H696" s="6">
        <f>IFERROR(__xludf.DUMMYFUNCTION("""COMPUTED_VALUE"""),25000.0)</f>
        <v>25000</v>
      </c>
      <c r="I696" s="7">
        <f>IFERROR(__xludf.DUMMYFUNCTION("""COMPUTED_VALUE"""),44862.0)</f>
        <v>44862</v>
      </c>
      <c r="J696" s="7">
        <f>IFERROR(__xludf.DUMMYFUNCTION("""COMPUTED_VALUE"""),44866.0)</f>
        <v>44866</v>
      </c>
      <c r="K696" s="5" t="str">
        <f>IFERROR(__xludf.DUMMYFUNCTION("""COMPUTED_VALUE"""),"lower-middle income")</f>
        <v>lower-middle income</v>
      </c>
      <c r="L696" s="5" t="str">
        <f>IFERROR(__xludf.DUMMYFUNCTION("""COMPUTED_VALUE"""),"St. Kitts and Nevis")</f>
        <v>St. Kitts and Nevis</v>
      </c>
      <c r="M696" s="5" t="str">
        <f>IFERROR(__xludf.DUMMYFUNCTION("""COMPUTED_VALUE"""),"Middle East &amp; North Africa")</f>
        <v>Middle East &amp; North Africa</v>
      </c>
      <c r="N696" s="5" t="str">
        <f>IFERROR(__xludf.DUMMYFUNCTION("""COMPUTED_VALUE"""),"Africa")</f>
        <v>Africa</v>
      </c>
      <c r="O696" s="5" t="str">
        <f>IFERROR(__xludf.DUMMYFUNCTION("""COMPUTED_VALUE"""),"developing")</f>
        <v>developing</v>
      </c>
      <c r="P696" s="5"/>
      <c r="Q696" s="5"/>
    </row>
    <row r="697">
      <c r="A697" s="5" t="str">
        <f>IFERROR(__xludf.DUMMYFUNCTION("""COMPUTED_VALUE"""),"Outbound")</f>
        <v>Outbound</v>
      </c>
      <c r="B697" s="5">
        <f>IFERROR(__xludf.DUMMYFUNCTION("""COMPUTED_VALUE"""),401.0)</f>
        <v>401</v>
      </c>
      <c r="C697" s="5" t="str">
        <f>IFERROR(__xludf.DUMMYFUNCTION("""COMPUTED_VALUE"""),"KAVO PERDIKA")</f>
        <v>KAVO PERDIKA</v>
      </c>
      <c r="D697" s="5">
        <f>IFERROR(__xludf.DUMMYFUNCTION("""COMPUTED_VALUE"""),9584889.0)</f>
        <v>9584889</v>
      </c>
      <c r="E697" s="5" t="str">
        <f>IFERROR(__xludf.DUMMYFUNCTION("""COMPUTED_VALUE"""),"Yuzhny/Pivdennyi")</f>
        <v>Yuzhny/Pivdennyi</v>
      </c>
      <c r="F697" s="5" t="str">
        <f>IFERROR(__xludf.DUMMYFUNCTION("""COMPUTED_VALUE"""),"Israel")</f>
        <v>Israel</v>
      </c>
      <c r="G697" s="5" t="str">
        <f>IFERROR(__xludf.DUMMYFUNCTION("""COMPUTED_VALUE"""),"Corn")</f>
        <v>Corn</v>
      </c>
      <c r="H697" s="6">
        <f>IFERROR(__xludf.DUMMYFUNCTION("""COMPUTED_VALUE"""),54160.0)</f>
        <v>54160</v>
      </c>
      <c r="I697" s="7">
        <f>IFERROR(__xludf.DUMMYFUNCTION("""COMPUTED_VALUE"""),44862.0)</f>
        <v>44862</v>
      </c>
      <c r="J697" s="7">
        <f>IFERROR(__xludf.DUMMYFUNCTION("""COMPUTED_VALUE"""),44866.0)</f>
        <v>44866</v>
      </c>
      <c r="K697" s="5" t="str">
        <f>IFERROR(__xludf.DUMMYFUNCTION("""COMPUTED_VALUE"""),"high-income")</f>
        <v>high-income</v>
      </c>
      <c r="L697" s="5" t="str">
        <f>IFERROR(__xludf.DUMMYFUNCTION("""COMPUTED_VALUE"""),"Marshall Islands")</f>
        <v>Marshall Islands</v>
      </c>
      <c r="M697" s="5" t="str">
        <f>IFERROR(__xludf.DUMMYFUNCTION("""COMPUTED_VALUE"""),"Middle East &amp; North Africa")</f>
        <v>Middle East &amp; North Africa</v>
      </c>
      <c r="N697" s="5" t="str">
        <f>IFERROR(__xludf.DUMMYFUNCTION("""COMPUTED_VALUE"""),"Western Europe and Others")</f>
        <v>Western Europe and Others</v>
      </c>
      <c r="O697" s="5" t="str">
        <f>IFERROR(__xludf.DUMMYFUNCTION("""COMPUTED_VALUE"""),"developed")</f>
        <v>developed</v>
      </c>
      <c r="P697" s="5"/>
      <c r="Q697" s="5"/>
    </row>
    <row r="698">
      <c r="A698" s="5" t="str">
        <f>IFERROR(__xludf.DUMMYFUNCTION("""COMPUTED_VALUE"""),"Outbound")</f>
        <v>Outbound</v>
      </c>
      <c r="B698" s="5">
        <f>IFERROR(__xludf.DUMMYFUNCTION("""COMPUTED_VALUE"""),400.0)</f>
        <v>400</v>
      </c>
      <c r="C698" s="5" t="str">
        <f>IFERROR(__xludf.DUMMYFUNCTION("""COMPUTED_VALUE"""),"ASL TIA")</f>
        <v>ASL TIA</v>
      </c>
      <c r="D698" s="5">
        <f>IFERROR(__xludf.DUMMYFUNCTION("""COMPUTED_VALUE"""),9573713.0)</f>
        <v>9573713</v>
      </c>
      <c r="E698" s="5" t="str">
        <f>IFERROR(__xludf.DUMMYFUNCTION("""COMPUTED_VALUE"""),"Chornomorsk")</f>
        <v>Chornomorsk</v>
      </c>
      <c r="F698" s="5" t="str">
        <f>IFERROR(__xludf.DUMMYFUNCTION("""COMPUTED_VALUE"""),"China")</f>
        <v>China</v>
      </c>
      <c r="G698" s="5" t="str">
        <f>IFERROR(__xludf.DUMMYFUNCTION("""COMPUTED_VALUE"""),"Sunflower meal")</f>
        <v>Sunflower meal</v>
      </c>
      <c r="H698" s="6">
        <f>IFERROR(__xludf.DUMMYFUNCTION("""COMPUTED_VALUE"""),39000.0)</f>
        <v>39000</v>
      </c>
      <c r="I698" s="7">
        <f>IFERROR(__xludf.DUMMYFUNCTION("""COMPUTED_VALUE"""),44862.0)</f>
        <v>44862</v>
      </c>
      <c r="J698" s="7">
        <f>IFERROR(__xludf.DUMMYFUNCTION("""COMPUTED_VALUE"""),44866.0)</f>
        <v>44866</v>
      </c>
      <c r="K698" s="5" t="str">
        <f>IFERROR(__xludf.DUMMYFUNCTION("""COMPUTED_VALUE"""),"upper-middle-income")</f>
        <v>upper-middle-income</v>
      </c>
      <c r="L698" s="5" t="str">
        <f>IFERROR(__xludf.DUMMYFUNCTION("""COMPUTED_VALUE"""),"Liberia")</f>
        <v>Liberia</v>
      </c>
      <c r="M698" s="5" t="str">
        <f>IFERROR(__xludf.DUMMYFUNCTION("""COMPUTED_VALUE"""),"East Asia &amp; Pacific")</f>
        <v>East Asia &amp; Pacific</v>
      </c>
      <c r="N698" s="5" t="str">
        <f>IFERROR(__xludf.DUMMYFUNCTION("""COMPUTED_VALUE"""),"Asia-Pacific")</f>
        <v>Asia-Pacific</v>
      </c>
      <c r="O698" s="5" t="str">
        <f>IFERROR(__xludf.DUMMYFUNCTION("""COMPUTED_VALUE"""),"developing")</f>
        <v>developing</v>
      </c>
      <c r="P698" s="5"/>
      <c r="Q698" s="5"/>
    </row>
    <row r="699">
      <c r="A699" s="5" t="str">
        <f>IFERROR(__xludf.DUMMYFUNCTION("""COMPUTED_VALUE"""),"Outbound")</f>
        <v>Outbound</v>
      </c>
      <c r="B699" s="5">
        <f>IFERROR(__xludf.DUMMYFUNCTION("""COMPUTED_VALUE"""),399.0)</f>
        <v>399</v>
      </c>
      <c r="C699" s="5" t="str">
        <f>IFERROR(__xludf.DUMMYFUNCTION("""COMPUTED_VALUE"""),"STELLA GS")</f>
        <v>STELLA GS</v>
      </c>
      <c r="D699" s="5">
        <f>IFERROR(__xludf.DUMMYFUNCTION("""COMPUTED_VALUE"""),9363285.0)</f>
        <v>9363285</v>
      </c>
      <c r="E699" s="5" t="str">
        <f>IFERROR(__xludf.DUMMYFUNCTION("""COMPUTED_VALUE"""),"Chornomorsk")</f>
        <v>Chornomorsk</v>
      </c>
      <c r="F699" s="5" t="str">
        <f>IFERROR(__xludf.DUMMYFUNCTION("""COMPUTED_VALUE"""),"Tunisia")</f>
        <v>Tunisia</v>
      </c>
      <c r="G699" s="5" t="str">
        <f>IFERROR(__xludf.DUMMYFUNCTION("""COMPUTED_VALUE"""),"Corn")</f>
        <v>Corn</v>
      </c>
      <c r="H699" s="6">
        <f>IFERROR(__xludf.DUMMYFUNCTION("""COMPUTED_VALUE"""),30698.0)</f>
        <v>30698</v>
      </c>
      <c r="I699" s="7">
        <f>IFERROR(__xludf.DUMMYFUNCTION("""COMPUTED_VALUE"""),44861.0)</f>
        <v>44861</v>
      </c>
      <c r="J699" s="7">
        <f>IFERROR(__xludf.DUMMYFUNCTION("""COMPUTED_VALUE"""),44866.0)</f>
        <v>44866</v>
      </c>
      <c r="K699" s="5" t="str">
        <f>IFERROR(__xludf.DUMMYFUNCTION("""COMPUTED_VALUE"""),"lower-middle income")</f>
        <v>lower-middle income</v>
      </c>
      <c r="L699" s="5" t="str">
        <f>IFERROR(__xludf.DUMMYFUNCTION("""COMPUTED_VALUE"""),"Marshall Islands")</f>
        <v>Marshall Islands</v>
      </c>
      <c r="M699" s="5" t="str">
        <f>IFERROR(__xludf.DUMMYFUNCTION("""COMPUTED_VALUE"""),"Middle East &amp; North Africa")</f>
        <v>Middle East &amp; North Africa</v>
      </c>
      <c r="N699" s="5" t="str">
        <f>IFERROR(__xludf.DUMMYFUNCTION("""COMPUTED_VALUE"""),"Africa")</f>
        <v>Africa</v>
      </c>
      <c r="O699" s="5" t="str">
        <f>IFERROR(__xludf.DUMMYFUNCTION("""COMPUTED_VALUE"""),"developing")</f>
        <v>developing</v>
      </c>
      <c r="P699" s="5"/>
      <c r="Q699" s="5"/>
    </row>
    <row r="700">
      <c r="A700" s="5" t="str">
        <f>IFERROR(__xludf.DUMMYFUNCTION("""COMPUTED_VALUE"""),"Outbound")</f>
        <v>Outbound</v>
      </c>
      <c r="B700" s="5">
        <f>IFERROR(__xludf.DUMMYFUNCTION("""COMPUTED_VALUE"""),398.0)</f>
        <v>398</v>
      </c>
      <c r="C700" s="5" t="str">
        <f>IFERROR(__xludf.DUMMYFUNCTION("""COMPUTED_VALUE"""),"SEVIL")</f>
        <v>SEVIL</v>
      </c>
      <c r="D700" s="5">
        <f>IFERROR(__xludf.DUMMYFUNCTION("""COMPUTED_VALUE"""),9148518.0)</f>
        <v>9148518</v>
      </c>
      <c r="E700" s="5" t="str">
        <f>IFERROR(__xludf.DUMMYFUNCTION("""COMPUTED_VALUE"""),"Chornomorsk")</f>
        <v>Chornomorsk</v>
      </c>
      <c r="F700" s="5" t="str">
        <f>IFERROR(__xludf.DUMMYFUNCTION("""COMPUTED_VALUE"""),"Türkiye")</f>
        <v>Türkiye</v>
      </c>
      <c r="G700" s="5" t="str">
        <f>IFERROR(__xludf.DUMMYFUNCTION("""COMPUTED_VALUE"""),"Soya beans")</f>
        <v>Soya beans</v>
      </c>
      <c r="H700" s="6">
        <f>IFERROR(__xludf.DUMMYFUNCTION("""COMPUTED_VALUE"""),5000.0)</f>
        <v>5000</v>
      </c>
      <c r="I700" s="7">
        <f>IFERROR(__xludf.DUMMYFUNCTION("""COMPUTED_VALUE"""),44861.0)</f>
        <v>44861</v>
      </c>
      <c r="J700" s="7">
        <f>IFERROR(__xludf.DUMMYFUNCTION("""COMPUTED_VALUE"""),44866.0)</f>
        <v>44866</v>
      </c>
      <c r="K700" s="5" t="str">
        <f>IFERROR(__xludf.DUMMYFUNCTION("""COMPUTED_VALUE"""),"upper-middle-income")</f>
        <v>upper-middle-income</v>
      </c>
      <c r="L700" s="5" t="str">
        <f>IFERROR(__xludf.DUMMYFUNCTION("""COMPUTED_VALUE"""),"Vanuatu")</f>
        <v>Vanuatu</v>
      </c>
      <c r="M700" s="5" t="str">
        <f>IFERROR(__xludf.DUMMYFUNCTION("""COMPUTED_VALUE"""),"Europe &amp; Central Asia")</f>
        <v>Europe &amp; Central Asia</v>
      </c>
      <c r="N700" s="5" t="str">
        <f>IFERROR(__xludf.DUMMYFUNCTION("""COMPUTED_VALUE"""),"Asia-Pacific")</f>
        <v>Asia-Pacific</v>
      </c>
      <c r="O700" s="5" t="str">
        <f>IFERROR(__xludf.DUMMYFUNCTION("""COMPUTED_VALUE"""),"developing")</f>
        <v>developing</v>
      </c>
      <c r="P700" s="5"/>
      <c r="Q700" s="5"/>
    </row>
    <row r="701">
      <c r="A701" s="5" t="str">
        <f>IFERROR(__xludf.DUMMYFUNCTION("""COMPUTED_VALUE"""),"Outbound")</f>
        <v>Outbound</v>
      </c>
      <c r="B701" s="5">
        <f>IFERROR(__xludf.DUMMYFUNCTION("""COMPUTED_VALUE"""),397.0)</f>
        <v>397</v>
      </c>
      <c r="C701" s="5" t="str">
        <f>IFERROR(__xludf.DUMMYFUNCTION("""COMPUTED_VALUE"""),"PRINCESS MANISSA")</f>
        <v>PRINCESS MANISSA</v>
      </c>
      <c r="D701" s="5">
        <f>IFERROR(__xludf.DUMMYFUNCTION("""COMPUTED_VALUE"""),9084217.0)</f>
        <v>9084217</v>
      </c>
      <c r="E701" s="5" t="str">
        <f>IFERROR(__xludf.DUMMYFUNCTION("""COMPUTED_VALUE"""),"Yuzhny/Pivdennyi")</f>
        <v>Yuzhny/Pivdennyi</v>
      </c>
      <c r="F701" s="5" t="str">
        <f>IFERROR(__xludf.DUMMYFUNCTION("""COMPUTED_VALUE"""),"Türkiye")</f>
        <v>Türkiye</v>
      </c>
      <c r="G701" s="5" t="str">
        <f>IFERROR(__xludf.DUMMYFUNCTION("""COMPUTED_VALUE"""),"Corn")</f>
        <v>Corn</v>
      </c>
      <c r="H701" s="6">
        <f>IFERROR(__xludf.DUMMYFUNCTION("""COMPUTED_VALUE"""),21000.0)</f>
        <v>21000</v>
      </c>
      <c r="I701" s="7">
        <f>IFERROR(__xludf.DUMMYFUNCTION("""COMPUTED_VALUE"""),44861.0)</f>
        <v>44861</v>
      </c>
      <c r="J701" s="7">
        <f>IFERROR(__xludf.DUMMYFUNCTION("""COMPUTED_VALUE"""),44866.0)</f>
        <v>44866</v>
      </c>
      <c r="K701" s="5" t="str">
        <f>IFERROR(__xludf.DUMMYFUNCTION("""COMPUTED_VALUE"""),"upper-middle-income")</f>
        <v>upper-middle-income</v>
      </c>
      <c r="L701" s="5" t="str">
        <f>IFERROR(__xludf.DUMMYFUNCTION("""COMPUTED_VALUE"""),"St. Kitts and Nevis")</f>
        <v>St. Kitts and Nevis</v>
      </c>
      <c r="M701" s="5" t="str">
        <f>IFERROR(__xludf.DUMMYFUNCTION("""COMPUTED_VALUE"""),"Europe &amp; Central Asia")</f>
        <v>Europe &amp; Central Asia</v>
      </c>
      <c r="N701" s="5" t="str">
        <f>IFERROR(__xludf.DUMMYFUNCTION("""COMPUTED_VALUE"""),"Asia-Pacific")</f>
        <v>Asia-Pacific</v>
      </c>
      <c r="O701" s="5" t="str">
        <f>IFERROR(__xludf.DUMMYFUNCTION("""COMPUTED_VALUE"""),"developing")</f>
        <v>developing</v>
      </c>
      <c r="P701" s="5"/>
      <c r="Q701" s="5"/>
    </row>
    <row r="702">
      <c r="A702" s="5" t="str">
        <f>IFERROR(__xludf.DUMMYFUNCTION("""COMPUTED_VALUE"""),"Outbound")</f>
        <v>Outbound</v>
      </c>
      <c r="B702" s="5">
        <f>IFERROR(__xludf.DUMMYFUNCTION("""COMPUTED_VALUE"""),396.0)</f>
        <v>396</v>
      </c>
      <c r="C702" s="5" t="str">
        <f>IFERROR(__xludf.DUMMYFUNCTION("""COMPUTED_VALUE"""),"ORIS JUL")</f>
        <v>ORIS JUL</v>
      </c>
      <c r="D702" s="5">
        <f>IFERROR(__xludf.DUMMYFUNCTION("""COMPUTED_VALUE"""),9116084.0)</f>
        <v>9116084</v>
      </c>
      <c r="E702" s="5" t="str">
        <f>IFERROR(__xludf.DUMMYFUNCTION("""COMPUTED_VALUE"""),"Chornomorsk")</f>
        <v>Chornomorsk</v>
      </c>
      <c r="F702" s="5" t="str">
        <f>IFERROR(__xludf.DUMMYFUNCTION("""COMPUTED_VALUE"""),"Israel")</f>
        <v>Israel</v>
      </c>
      <c r="G702" s="5" t="str">
        <f>IFERROR(__xludf.DUMMYFUNCTION("""COMPUTED_VALUE"""),"Sunflower meal")</f>
        <v>Sunflower meal</v>
      </c>
      <c r="H702" s="6">
        <f>IFERROR(__xludf.DUMMYFUNCTION("""COMPUTED_VALUE"""),5750.0)</f>
        <v>5750</v>
      </c>
      <c r="I702" s="7">
        <f>IFERROR(__xludf.DUMMYFUNCTION("""COMPUTED_VALUE"""),44861.0)</f>
        <v>44861</v>
      </c>
      <c r="J702" s="7">
        <f>IFERROR(__xludf.DUMMYFUNCTION("""COMPUTED_VALUE"""),44866.0)</f>
        <v>44866</v>
      </c>
      <c r="K702" s="5" t="str">
        <f>IFERROR(__xludf.DUMMYFUNCTION("""COMPUTED_VALUE"""),"high-income")</f>
        <v>high-income</v>
      </c>
      <c r="L702" s="5" t="str">
        <f>IFERROR(__xludf.DUMMYFUNCTION("""COMPUTED_VALUE"""),"Panama")</f>
        <v>Panama</v>
      </c>
      <c r="M702" s="5" t="str">
        <f>IFERROR(__xludf.DUMMYFUNCTION("""COMPUTED_VALUE"""),"Middle East &amp; North Africa")</f>
        <v>Middle East &amp; North Africa</v>
      </c>
      <c r="N702" s="5" t="str">
        <f>IFERROR(__xludf.DUMMYFUNCTION("""COMPUTED_VALUE"""),"Western Europe and Others")</f>
        <v>Western Europe and Others</v>
      </c>
      <c r="O702" s="5" t="str">
        <f>IFERROR(__xludf.DUMMYFUNCTION("""COMPUTED_VALUE"""),"developed")</f>
        <v>developed</v>
      </c>
      <c r="P702" s="5"/>
      <c r="Q702" s="5"/>
    </row>
    <row r="703">
      <c r="A703" s="5" t="str">
        <f>IFERROR(__xludf.DUMMYFUNCTION("""COMPUTED_VALUE"""),"Outbound")</f>
        <v>Outbound</v>
      </c>
      <c r="B703" s="5">
        <f>IFERROR(__xludf.DUMMYFUNCTION("""COMPUTED_VALUE"""),395.0)</f>
        <v>395</v>
      </c>
      <c r="C703" s="5" t="str">
        <f>IFERROR(__xludf.DUMMYFUNCTION("""COMPUTED_VALUE"""),"NESA")</f>
        <v>NESA</v>
      </c>
      <c r="D703" s="5">
        <f>IFERROR(__xludf.DUMMYFUNCTION("""COMPUTED_VALUE"""),8409654.0)</f>
        <v>8409654</v>
      </c>
      <c r="E703" s="5" t="str">
        <f>IFERROR(__xludf.DUMMYFUNCTION("""COMPUTED_VALUE"""),"Chornomorsk")</f>
        <v>Chornomorsk</v>
      </c>
      <c r="F703" s="5" t="str">
        <f>IFERROR(__xludf.DUMMYFUNCTION("""COMPUTED_VALUE"""),"Türkiye")</f>
        <v>Türkiye</v>
      </c>
      <c r="G703" s="5" t="str">
        <f>IFERROR(__xludf.DUMMYFUNCTION("""COMPUTED_VALUE"""),"Peas")</f>
        <v>Peas</v>
      </c>
      <c r="H703" s="6">
        <f>IFERROR(__xludf.DUMMYFUNCTION("""COMPUTED_VALUE"""),2300.0)</f>
        <v>2300</v>
      </c>
      <c r="I703" s="7">
        <f>IFERROR(__xludf.DUMMYFUNCTION("""COMPUTED_VALUE"""),44861.0)</f>
        <v>44861</v>
      </c>
      <c r="J703" s="7">
        <f>IFERROR(__xludf.DUMMYFUNCTION("""COMPUTED_VALUE"""),44866.0)</f>
        <v>44866</v>
      </c>
      <c r="K703" s="5" t="str">
        <f>IFERROR(__xludf.DUMMYFUNCTION("""COMPUTED_VALUE"""),"upper-middle-income")</f>
        <v>upper-middle-income</v>
      </c>
      <c r="L703" s="5" t="str">
        <f>IFERROR(__xludf.DUMMYFUNCTION("""COMPUTED_VALUE"""),"Vanuatu")</f>
        <v>Vanuatu</v>
      </c>
      <c r="M703" s="5" t="str">
        <f>IFERROR(__xludf.DUMMYFUNCTION("""COMPUTED_VALUE"""),"Europe &amp; Central Asia")</f>
        <v>Europe &amp; Central Asia</v>
      </c>
      <c r="N703" s="5" t="str">
        <f>IFERROR(__xludf.DUMMYFUNCTION("""COMPUTED_VALUE"""),"Asia-Pacific")</f>
        <v>Asia-Pacific</v>
      </c>
      <c r="O703" s="5" t="str">
        <f>IFERROR(__xludf.DUMMYFUNCTION("""COMPUTED_VALUE"""),"developing")</f>
        <v>developing</v>
      </c>
      <c r="P703" s="5"/>
      <c r="Q703" s="5"/>
    </row>
    <row r="704">
      <c r="A704" s="5" t="str">
        <f>IFERROR(__xludf.DUMMYFUNCTION("""COMPUTED_VALUE"""),"Outbound")</f>
        <v>Outbound</v>
      </c>
      <c r="B704" s="5">
        <f>IFERROR(__xludf.DUMMYFUNCTION("""COMPUTED_VALUE"""),394.0)</f>
        <v>394</v>
      </c>
      <c r="C704" s="5" t="str">
        <f>IFERROR(__xludf.DUMMYFUNCTION("""COMPUTED_VALUE"""),"INOI")</f>
        <v>INOI</v>
      </c>
      <c r="D704" s="5">
        <f>IFERROR(__xludf.DUMMYFUNCTION("""COMPUTED_VALUE"""),9400928.0)</f>
        <v>9400928</v>
      </c>
      <c r="E704" s="5" t="str">
        <f>IFERROR(__xludf.DUMMYFUNCTION("""COMPUTED_VALUE"""),"Chornomorsk")</f>
        <v>Chornomorsk</v>
      </c>
      <c r="F704" s="5" t="str">
        <f>IFERROR(__xludf.DUMMYFUNCTION("""COMPUTED_VALUE"""),"Spain")</f>
        <v>Spain</v>
      </c>
      <c r="G704" s="5" t="str">
        <f>IFERROR(__xludf.DUMMYFUNCTION("""COMPUTED_VALUE"""),"Corn")</f>
        <v>Corn</v>
      </c>
      <c r="H704" s="6">
        <f>IFERROR(__xludf.DUMMYFUNCTION("""COMPUTED_VALUE"""),16090.0)</f>
        <v>16090</v>
      </c>
      <c r="I704" s="7">
        <f>IFERROR(__xludf.DUMMYFUNCTION("""COMPUTED_VALUE"""),44861.0)</f>
        <v>44861</v>
      </c>
      <c r="J704" s="7">
        <f>IFERROR(__xludf.DUMMYFUNCTION("""COMPUTED_VALUE"""),44865.0)</f>
        <v>44865</v>
      </c>
      <c r="K704" s="5" t="str">
        <f>IFERROR(__xludf.DUMMYFUNCTION("""COMPUTED_VALUE"""),"high-income")</f>
        <v>high-income</v>
      </c>
      <c r="L704" s="5" t="str">
        <f>IFERROR(__xludf.DUMMYFUNCTION("""COMPUTED_VALUE"""),"Panama")</f>
        <v>Panama</v>
      </c>
      <c r="M704" s="5" t="str">
        <f>IFERROR(__xludf.DUMMYFUNCTION("""COMPUTED_VALUE"""),"Europe &amp; Central Asia")</f>
        <v>Europe &amp; Central Asia</v>
      </c>
      <c r="N704" s="5" t="str">
        <f>IFERROR(__xludf.DUMMYFUNCTION("""COMPUTED_VALUE"""),"Western Europe and Others")</f>
        <v>Western Europe and Others</v>
      </c>
      <c r="O704" s="5" t="str">
        <f>IFERROR(__xludf.DUMMYFUNCTION("""COMPUTED_VALUE"""),"developed")</f>
        <v>developed</v>
      </c>
      <c r="P704" s="5"/>
      <c r="Q704" s="5"/>
    </row>
    <row r="705">
      <c r="A705" s="5" t="str">
        <f>IFERROR(__xludf.DUMMYFUNCTION("""COMPUTED_VALUE"""),"Outbound +")</f>
        <v>Outbound +</v>
      </c>
      <c r="B705" s="5">
        <f>IFERROR(__xludf.DUMMYFUNCTION("""COMPUTED_VALUE"""),394.0)</f>
        <v>394</v>
      </c>
      <c r="C705" s="5" t="str">
        <f>IFERROR(__xludf.DUMMYFUNCTION("""COMPUTED_VALUE"""),"INOI")</f>
        <v>INOI</v>
      </c>
      <c r="D705" s="5">
        <f>IFERROR(__xludf.DUMMYFUNCTION("""COMPUTED_VALUE"""),9400928.0)</f>
        <v>9400928</v>
      </c>
      <c r="E705" s="5" t="str">
        <f>IFERROR(__xludf.DUMMYFUNCTION("""COMPUTED_VALUE"""),"Chornomorsk")</f>
        <v>Chornomorsk</v>
      </c>
      <c r="F705" s="5" t="str">
        <f>IFERROR(__xludf.DUMMYFUNCTION("""COMPUTED_VALUE"""),"Spain")</f>
        <v>Spain</v>
      </c>
      <c r="G705" s="5" t="str">
        <f>IFERROR(__xludf.DUMMYFUNCTION("""COMPUTED_VALUE"""),"Wheat")</f>
        <v>Wheat</v>
      </c>
      <c r="H705" s="6">
        <f>IFERROR(__xludf.DUMMYFUNCTION("""COMPUTED_VALUE"""),14910.0)</f>
        <v>14910</v>
      </c>
      <c r="I705" s="7">
        <f>IFERROR(__xludf.DUMMYFUNCTION("""COMPUTED_VALUE"""),44861.0)</f>
        <v>44861</v>
      </c>
      <c r="J705" s="7">
        <f>IFERROR(__xludf.DUMMYFUNCTION("""COMPUTED_VALUE"""),44865.0)</f>
        <v>44865</v>
      </c>
      <c r="K705" s="5" t="str">
        <f>IFERROR(__xludf.DUMMYFUNCTION("""COMPUTED_VALUE"""),"high-income")</f>
        <v>high-income</v>
      </c>
      <c r="L705" s="5" t="str">
        <f>IFERROR(__xludf.DUMMYFUNCTION("""COMPUTED_VALUE"""),"Panama")</f>
        <v>Panama</v>
      </c>
      <c r="M705" s="5" t="str">
        <f>IFERROR(__xludf.DUMMYFUNCTION("""COMPUTED_VALUE"""),"Europe &amp; Central Asia")</f>
        <v>Europe &amp; Central Asia</v>
      </c>
      <c r="N705" s="5" t="str">
        <f>IFERROR(__xludf.DUMMYFUNCTION("""COMPUTED_VALUE"""),"Western Europe and Others")</f>
        <v>Western Europe and Others</v>
      </c>
      <c r="O705" s="5" t="str">
        <f>IFERROR(__xludf.DUMMYFUNCTION("""COMPUTED_VALUE"""),"developed")</f>
        <v>developed</v>
      </c>
      <c r="P705" s="5"/>
      <c r="Q705" s="5"/>
    </row>
    <row r="706">
      <c r="A706" s="5" t="str">
        <f>IFERROR(__xludf.DUMMYFUNCTION("""COMPUTED_VALUE"""),"Outbound")</f>
        <v>Outbound</v>
      </c>
      <c r="B706" s="5">
        <f>IFERROR(__xludf.DUMMYFUNCTION("""COMPUTED_VALUE"""),393.0)</f>
        <v>393</v>
      </c>
      <c r="C706" s="5" t="str">
        <f>IFERROR(__xludf.DUMMYFUNCTION("""COMPUTED_VALUE"""),"AHMET AGAOGLU")</f>
        <v>AHMET AGAOGLU</v>
      </c>
      <c r="D706" s="5">
        <f>IFERROR(__xludf.DUMMYFUNCTION("""COMPUTED_VALUE"""),9082001.0)</f>
        <v>9082001</v>
      </c>
      <c r="E706" s="5" t="str">
        <f>IFERROR(__xludf.DUMMYFUNCTION("""COMPUTED_VALUE"""),"Yuzhny/Pivdennyi")</f>
        <v>Yuzhny/Pivdennyi</v>
      </c>
      <c r="F706" s="5" t="str">
        <f>IFERROR(__xludf.DUMMYFUNCTION("""COMPUTED_VALUE"""),"Greece")</f>
        <v>Greece</v>
      </c>
      <c r="G706" s="5" t="str">
        <f>IFERROR(__xludf.DUMMYFUNCTION("""COMPUTED_VALUE"""),"Wheat")</f>
        <v>Wheat</v>
      </c>
      <c r="H706" s="6">
        <f>IFERROR(__xludf.DUMMYFUNCTION("""COMPUTED_VALUE"""),4060.0)</f>
        <v>4060</v>
      </c>
      <c r="I706" s="7">
        <f>IFERROR(__xludf.DUMMYFUNCTION("""COMPUTED_VALUE"""),44861.0)</f>
        <v>44861</v>
      </c>
      <c r="J706" s="7">
        <f>IFERROR(__xludf.DUMMYFUNCTION("""COMPUTED_VALUE"""),44866.0)</f>
        <v>44866</v>
      </c>
      <c r="K706" s="5" t="str">
        <f>IFERROR(__xludf.DUMMYFUNCTION("""COMPUTED_VALUE"""),"high-income")</f>
        <v>high-income</v>
      </c>
      <c r="L706" s="5" t="str">
        <f>IFERROR(__xludf.DUMMYFUNCTION("""COMPUTED_VALUE"""),"Vanuatu")</f>
        <v>Vanuatu</v>
      </c>
      <c r="M706" s="5" t="str">
        <f>IFERROR(__xludf.DUMMYFUNCTION("""COMPUTED_VALUE"""),"Europe &amp; Central Asia")</f>
        <v>Europe &amp; Central Asia</v>
      </c>
      <c r="N706" s="5" t="str">
        <f>IFERROR(__xludf.DUMMYFUNCTION("""COMPUTED_VALUE"""),"Western Europe and Others")</f>
        <v>Western Europe and Others</v>
      </c>
      <c r="O706" s="5" t="str">
        <f>IFERROR(__xludf.DUMMYFUNCTION("""COMPUTED_VALUE"""),"developed")</f>
        <v>developed</v>
      </c>
      <c r="P706" s="5"/>
      <c r="Q706" s="5"/>
    </row>
    <row r="707">
      <c r="A707" s="5" t="str">
        <f>IFERROR(__xludf.DUMMYFUNCTION("""COMPUTED_VALUE"""),"Outbound")</f>
        <v>Outbound</v>
      </c>
      <c r="B707" s="5">
        <f>IFERROR(__xludf.DUMMYFUNCTION("""COMPUTED_VALUE"""),392.0)</f>
        <v>392</v>
      </c>
      <c r="C707" s="5" t="str">
        <f>IFERROR(__xludf.DUMMYFUNCTION("""COMPUTED_VALUE"""),"ADIL IBRAHIMLI")</f>
        <v>ADIL IBRAHIMLI</v>
      </c>
      <c r="D707" s="5">
        <f>IFERROR(__xludf.DUMMYFUNCTION("""COMPUTED_VALUE"""),9575319.0)</f>
        <v>9575319</v>
      </c>
      <c r="E707" s="5" t="str">
        <f>IFERROR(__xludf.DUMMYFUNCTION("""COMPUTED_VALUE"""),"Chornomorsk")</f>
        <v>Chornomorsk</v>
      </c>
      <c r="F707" s="5" t="str">
        <f>IFERROR(__xludf.DUMMYFUNCTION("""COMPUTED_VALUE"""),"Italy")</f>
        <v>Italy</v>
      </c>
      <c r="G707" s="5" t="str">
        <f>IFERROR(__xludf.DUMMYFUNCTION("""COMPUTED_VALUE"""),"Sunflower oil")</f>
        <v>Sunflower oil</v>
      </c>
      <c r="H707" s="6">
        <f>IFERROR(__xludf.DUMMYFUNCTION("""COMPUTED_VALUE"""),6630.0)</f>
        <v>6630</v>
      </c>
      <c r="I707" s="7">
        <f>IFERROR(__xludf.DUMMYFUNCTION("""COMPUTED_VALUE"""),44861.0)</f>
        <v>44861</v>
      </c>
      <c r="J707" s="7">
        <f>IFERROR(__xludf.DUMMYFUNCTION("""COMPUTED_VALUE"""),44865.0)</f>
        <v>44865</v>
      </c>
      <c r="K707" s="5" t="str">
        <f>IFERROR(__xludf.DUMMYFUNCTION("""COMPUTED_VALUE"""),"high-income")</f>
        <v>high-income</v>
      </c>
      <c r="L707" s="5" t="str">
        <f>IFERROR(__xludf.DUMMYFUNCTION("""COMPUTED_VALUE"""),"Liberia")</f>
        <v>Liberia</v>
      </c>
      <c r="M707" s="5" t="str">
        <f>IFERROR(__xludf.DUMMYFUNCTION("""COMPUTED_VALUE"""),"Europe &amp; Central Asia")</f>
        <v>Europe &amp; Central Asia</v>
      </c>
      <c r="N707" s="5" t="str">
        <f>IFERROR(__xludf.DUMMYFUNCTION("""COMPUTED_VALUE"""),"Western Europe and Others")</f>
        <v>Western Europe and Others</v>
      </c>
      <c r="O707" s="5" t="str">
        <f>IFERROR(__xludf.DUMMYFUNCTION("""COMPUTED_VALUE"""),"developed")</f>
        <v>developed</v>
      </c>
      <c r="P707" s="5"/>
      <c r="Q707" s="5"/>
    </row>
    <row r="708">
      <c r="A708" s="5" t="str">
        <f>IFERROR(__xludf.DUMMYFUNCTION("""COMPUTED_VALUE"""),"Outbound")</f>
        <v>Outbound</v>
      </c>
      <c r="B708" s="5">
        <f>IFERROR(__xludf.DUMMYFUNCTION("""COMPUTED_VALUE"""),391.0)</f>
        <v>391</v>
      </c>
      <c r="C708" s="5" t="str">
        <f>IFERROR(__xludf.DUMMYFUNCTION("""COMPUTED_VALUE"""),"A LINE")</f>
        <v>A LINE</v>
      </c>
      <c r="D708" s="5">
        <f>IFERROR(__xludf.DUMMYFUNCTION("""COMPUTED_VALUE"""),9246920.0)</f>
        <v>9246920</v>
      </c>
      <c r="E708" s="5" t="str">
        <f>IFERROR(__xludf.DUMMYFUNCTION("""COMPUTED_VALUE"""),"Odesa")</f>
        <v>Odesa</v>
      </c>
      <c r="F708" s="5" t="str">
        <f>IFERROR(__xludf.DUMMYFUNCTION("""COMPUTED_VALUE"""),"Türkiye")</f>
        <v>Türkiye</v>
      </c>
      <c r="G708" s="5" t="str">
        <f>IFERROR(__xludf.DUMMYFUNCTION("""COMPUTED_VALUE"""),"Wheat")</f>
        <v>Wheat</v>
      </c>
      <c r="H708" s="6">
        <f>IFERROR(__xludf.DUMMYFUNCTION("""COMPUTED_VALUE"""),10903.0)</f>
        <v>10903</v>
      </c>
      <c r="I708" s="7">
        <f>IFERROR(__xludf.DUMMYFUNCTION("""COMPUTED_VALUE"""),44861.0)</f>
        <v>44861</v>
      </c>
      <c r="J708" s="7">
        <f>IFERROR(__xludf.DUMMYFUNCTION("""COMPUTED_VALUE"""),44866.0)</f>
        <v>44866</v>
      </c>
      <c r="K708" s="5" t="str">
        <f>IFERROR(__xludf.DUMMYFUNCTION("""COMPUTED_VALUE"""),"upper-middle-income")</f>
        <v>upper-middle-income</v>
      </c>
      <c r="L708" s="5" t="str">
        <f>IFERROR(__xludf.DUMMYFUNCTION("""COMPUTED_VALUE"""),"Vanuatu")</f>
        <v>Vanuatu</v>
      </c>
      <c r="M708" s="5" t="str">
        <f>IFERROR(__xludf.DUMMYFUNCTION("""COMPUTED_VALUE"""),"Europe &amp; Central Asia")</f>
        <v>Europe &amp; Central Asia</v>
      </c>
      <c r="N708" s="5" t="str">
        <f>IFERROR(__xludf.DUMMYFUNCTION("""COMPUTED_VALUE"""),"Asia-Pacific")</f>
        <v>Asia-Pacific</v>
      </c>
      <c r="O708" s="5" t="str">
        <f>IFERROR(__xludf.DUMMYFUNCTION("""COMPUTED_VALUE"""),"developing")</f>
        <v>developing</v>
      </c>
      <c r="P708" s="5"/>
      <c r="Q708" s="5"/>
    </row>
    <row r="709">
      <c r="A709" s="5" t="str">
        <f>IFERROR(__xludf.DUMMYFUNCTION("""COMPUTED_VALUE"""),"Outbound")</f>
        <v>Outbound</v>
      </c>
      <c r="B709" s="5">
        <f>IFERROR(__xludf.DUMMYFUNCTION("""COMPUTED_VALUE"""),390.0)</f>
        <v>390</v>
      </c>
      <c r="C709" s="5" t="str">
        <f>IFERROR(__xludf.DUMMYFUNCTION("""COMPUTED_VALUE"""),"ZUMRUT ANA")</f>
        <v>ZUMRUT ANA</v>
      </c>
      <c r="D709" s="5">
        <f>IFERROR(__xludf.DUMMYFUNCTION("""COMPUTED_VALUE"""),9633549.0)</f>
        <v>9633549</v>
      </c>
      <c r="E709" s="5" t="str">
        <f>IFERROR(__xludf.DUMMYFUNCTION("""COMPUTED_VALUE"""),"Yuzhny/Pivdennyi")</f>
        <v>Yuzhny/Pivdennyi</v>
      </c>
      <c r="F709" s="5" t="str">
        <f>IFERROR(__xludf.DUMMYFUNCTION("""COMPUTED_VALUE"""),"Spain")</f>
        <v>Spain</v>
      </c>
      <c r="G709" s="5" t="str">
        <f>IFERROR(__xludf.DUMMYFUNCTION("""COMPUTED_VALUE"""),"Sunflower oil")</f>
        <v>Sunflower oil</v>
      </c>
      <c r="H709" s="6">
        <f>IFERROR(__xludf.DUMMYFUNCTION("""COMPUTED_VALUE"""),6300.0)</f>
        <v>6300</v>
      </c>
      <c r="I709" s="7">
        <f>IFERROR(__xludf.DUMMYFUNCTION("""COMPUTED_VALUE"""),44859.0)</f>
        <v>44859</v>
      </c>
      <c r="J709" s="7">
        <f>IFERROR(__xludf.DUMMYFUNCTION("""COMPUTED_VALUE"""),44866.0)</f>
        <v>44866</v>
      </c>
      <c r="K709" s="5" t="str">
        <f>IFERROR(__xludf.DUMMYFUNCTION("""COMPUTED_VALUE"""),"high-income")</f>
        <v>high-income</v>
      </c>
      <c r="L709" s="5" t="str">
        <f>IFERROR(__xludf.DUMMYFUNCTION("""COMPUTED_VALUE"""),"Liberia")</f>
        <v>Liberia</v>
      </c>
      <c r="M709" s="5" t="str">
        <f>IFERROR(__xludf.DUMMYFUNCTION("""COMPUTED_VALUE"""),"Europe &amp; Central Asia")</f>
        <v>Europe &amp; Central Asia</v>
      </c>
      <c r="N709" s="5" t="str">
        <f>IFERROR(__xludf.DUMMYFUNCTION("""COMPUTED_VALUE"""),"Western Europe and Others")</f>
        <v>Western Europe and Others</v>
      </c>
      <c r="O709" s="5" t="str">
        <f>IFERROR(__xludf.DUMMYFUNCTION("""COMPUTED_VALUE"""),"developed")</f>
        <v>developed</v>
      </c>
      <c r="P709" s="5"/>
      <c r="Q709" s="5"/>
    </row>
    <row r="710">
      <c r="A710" s="5" t="str">
        <f>IFERROR(__xludf.DUMMYFUNCTION("""COMPUTED_VALUE"""),"Outbound")</f>
        <v>Outbound</v>
      </c>
      <c r="B710" s="5">
        <f>IFERROR(__xludf.DUMMYFUNCTION("""COMPUTED_VALUE"""),389.0)</f>
        <v>389</v>
      </c>
      <c r="C710" s="5" t="str">
        <f>IFERROR(__xludf.DUMMYFUNCTION("""COMPUTED_VALUE"""),"SAHIN 1")</f>
        <v>SAHIN 1</v>
      </c>
      <c r="D710" s="5">
        <f>IFERROR(__xludf.DUMMYFUNCTION("""COMPUTED_VALUE"""),9111761.0)</f>
        <v>9111761</v>
      </c>
      <c r="E710" s="5" t="str">
        <f>IFERROR(__xludf.DUMMYFUNCTION("""COMPUTED_VALUE"""),"Yuzhny/Pivdennyi")</f>
        <v>Yuzhny/Pivdennyi</v>
      </c>
      <c r="F710" s="5" t="str">
        <f>IFERROR(__xludf.DUMMYFUNCTION("""COMPUTED_VALUE"""),"Greece")</f>
        <v>Greece</v>
      </c>
      <c r="G710" s="5" t="str">
        <f>IFERROR(__xludf.DUMMYFUNCTION("""COMPUTED_VALUE"""),"Wheat")</f>
        <v>Wheat</v>
      </c>
      <c r="H710" s="6">
        <f>IFERROR(__xludf.DUMMYFUNCTION("""COMPUTED_VALUE"""),2900.0)</f>
        <v>2900</v>
      </c>
      <c r="I710" s="7">
        <f>IFERROR(__xludf.DUMMYFUNCTION("""COMPUTED_VALUE"""),44859.0)</f>
        <v>44859</v>
      </c>
      <c r="J710" s="7">
        <f>IFERROR(__xludf.DUMMYFUNCTION("""COMPUTED_VALUE"""),44866.0)</f>
        <v>44866</v>
      </c>
      <c r="K710" s="5" t="str">
        <f>IFERROR(__xludf.DUMMYFUNCTION("""COMPUTED_VALUE"""),"high-income")</f>
        <v>high-income</v>
      </c>
      <c r="L710" s="5" t="str">
        <f>IFERROR(__xludf.DUMMYFUNCTION("""COMPUTED_VALUE"""),"Vanuatu")</f>
        <v>Vanuatu</v>
      </c>
      <c r="M710" s="5" t="str">
        <f>IFERROR(__xludf.DUMMYFUNCTION("""COMPUTED_VALUE"""),"Europe &amp; Central Asia")</f>
        <v>Europe &amp; Central Asia</v>
      </c>
      <c r="N710" s="5" t="str">
        <f>IFERROR(__xludf.DUMMYFUNCTION("""COMPUTED_VALUE"""),"Western Europe and Others")</f>
        <v>Western Europe and Others</v>
      </c>
      <c r="O710" s="5" t="str">
        <f>IFERROR(__xludf.DUMMYFUNCTION("""COMPUTED_VALUE"""),"developed")</f>
        <v>developed</v>
      </c>
      <c r="P710" s="5"/>
      <c r="Q710" s="5"/>
    </row>
    <row r="711">
      <c r="A711" s="5" t="str">
        <f>IFERROR(__xludf.DUMMYFUNCTION("""COMPUTED_VALUE"""),"Outbound")</f>
        <v>Outbound</v>
      </c>
      <c r="B711" s="5">
        <f>IFERROR(__xludf.DUMMYFUNCTION("""COMPUTED_VALUE"""),388.0)</f>
        <v>388</v>
      </c>
      <c r="C711" s="5" t="str">
        <f>IFERROR(__xludf.DUMMYFUNCTION("""COMPUTED_VALUE"""),"REGIUS")</f>
        <v>REGIUS</v>
      </c>
      <c r="D711" s="5">
        <f>IFERROR(__xludf.DUMMYFUNCTION("""COMPUTED_VALUE"""),9737113.0)</f>
        <v>9737113</v>
      </c>
      <c r="E711" s="5" t="str">
        <f>IFERROR(__xludf.DUMMYFUNCTION("""COMPUTED_VALUE"""),"Odesa")</f>
        <v>Odesa</v>
      </c>
      <c r="F711" s="5" t="str">
        <f>IFERROR(__xludf.DUMMYFUNCTION("""COMPUTED_VALUE"""),"United Kingdom")</f>
        <v>United Kingdom</v>
      </c>
      <c r="G711" s="5" t="str">
        <f>IFERROR(__xludf.DUMMYFUNCTION("""COMPUTED_VALUE"""),"Rapeseed")</f>
        <v>Rapeseed</v>
      </c>
      <c r="H711" s="6">
        <f>IFERROR(__xludf.DUMMYFUNCTION("""COMPUTED_VALUE"""),30000.0)</f>
        <v>30000</v>
      </c>
      <c r="I711" s="7">
        <f>IFERROR(__xludf.DUMMYFUNCTION("""COMPUTED_VALUE"""),44859.0)</f>
        <v>44859</v>
      </c>
      <c r="J711" s="7">
        <f>IFERROR(__xludf.DUMMYFUNCTION("""COMPUTED_VALUE"""),44866.0)</f>
        <v>44866</v>
      </c>
      <c r="K711" s="5" t="str">
        <f>IFERROR(__xludf.DUMMYFUNCTION("""COMPUTED_VALUE"""),"high-income")</f>
        <v>high-income</v>
      </c>
      <c r="L711" s="5" t="str">
        <f>IFERROR(__xludf.DUMMYFUNCTION("""COMPUTED_VALUE"""),"Marshall Islands")</f>
        <v>Marshall Islands</v>
      </c>
      <c r="M711" s="5" t="str">
        <f>IFERROR(__xludf.DUMMYFUNCTION("""COMPUTED_VALUE"""),"Europe &amp; Central Asia")</f>
        <v>Europe &amp; Central Asia</v>
      </c>
      <c r="N711" s="5" t="str">
        <f>IFERROR(__xludf.DUMMYFUNCTION("""COMPUTED_VALUE"""),"Western Europe and Others")</f>
        <v>Western Europe and Others</v>
      </c>
      <c r="O711" s="5" t="str">
        <f>IFERROR(__xludf.DUMMYFUNCTION("""COMPUTED_VALUE"""),"developed")</f>
        <v>developed</v>
      </c>
      <c r="P711" s="5"/>
      <c r="Q711" s="5"/>
    </row>
    <row r="712">
      <c r="A712" s="5" t="str">
        <f>IFERROR(__xludf.DUMMYFUNCTION("""COMPUTED_VALUE"""),"Outbound")</f>
        <v>Outbound</v>
      </c>
      <c r="B712" s="5">
        <f>IFERROR(__xludf.DUMMYFUNCTION("""COMPUTED_VALUE"""),387.0)</f>
        <v>387</v>
      </c>
      <c r="C712" s="5" t="str">
        <f>IFERROR(__xludf.DUMMYFUNCTION("""COMPUTED_VALUE"""),"PEARL T")</f>
        <v>PEARL T</v>
      </c>
      <c r="D712" s="5">
        <f>IFERROR(__xludf.DUMMYFUNCTION("""COMPUTED_VALUE"""),9264166.0)</f>
        <v>9264166</v>
      </c>
      <c r="E712" s="5" t="str">
        <f>IFERROR(__xludf.DUMMYFUNCTION("""COMPUTED_VALUE"""),"Chornomorsk")</f>
        <v>Chornomorsk</v>
      </c>
      <c r="F712" s="5" t="str">
        <f>IFERROR(__xludf.DUMMYFUNCTION("""COMPUTED_VALUE"""),"Romania")</f>
        <v>Romania</v>
      </c>
      <c r="G712" s="5" t="str">
        <f>IFERROR(__xludf.DUMMYFUNCTION("""COMPUTED_VALUE"""),"Sunflower oil")</f>
        <v>Sunflower oil</v>
      </c>
      <c r="H712" s="6">
        <f>IFERROR(__xludf.DUMMYFUNCTION("""COMPUTED_VALUE"""),4000.0)</f>
        <v>4000</v>
      </c>
      <c r="I712" s="7">
        <f>IFERROR(__xludf.DUMMYFUNCTION("""COMPUTED_VALUE"""),44859.0)</f>
        <v>44859</v>
      </c>
      <c r="J712" s="7">
        <f>IFERROR(__xludf.DUMMYFUNCTION("""COMPUTED_VALUE"""),44866.0)</f>
        <v>44866</v>
      </c>
      <c r="K712" s="5" t="str">
        <f>IFERROR(__xludf.DUMMYFUNCTION("""COMPUTED_VALUE"""),"high-income")</f>
        <v>high-income</v>
      </c>
      <c r="L712" s="5" t="str">
        <f>IFERROR(__xludf.DUMMYFUNCTION("""COMPUTED_VALUE"""),"Malta")</f>
        <v>Malta</v>
      </c>
      <c r="M712" s="5" t="str">
        <f>IFERROR(__xludf.DUMMYFUNCTION("""COMPUTED_VALUE"""),"Europe &amp; Central Asia")</f>
        <v>Europe &amp; Central Asia</v>
      </c>
      <c r="N712" s="5" t="str">
        <f>IFERROR(__xludf.DUMMYFUNCTION("""COMPUTED_VALUE"""),"Eastern Europe")</f>
        <v>Eastern Europe</v>
      </c>
      <c r="O712" s="5" t="str">
        <f>IFERROR(__xludf.DUMMYFUNCTION("""COMPUTED_VALUE"""),"developed")</f>
        <v>developed</v>
      </c>
      <c r="P712" s="5"/>
      <c r="Q712" s="5"/>
    </row>
    <row r="713">
      <c r="A713" s="5" t="str">
        <f>IFERROR(__xludf.DUMMYFUNCTION("""COMPUTED_VALUE"""),"Outbound")</f>
        <v>Outbound</v>
      </c>
      <c r="B713" s="5">
        <f>IFERROR(__xludf.DUMMYFUNCTION("""COMPUTED_VALUE"""),386.0)</f>
        <v>386</v>
      </c>
      <c r="C713" s="5" t="str">
        <f>IFERROR(__xludf.DUMMYFUNCTION("""COMPUTED_VALUE"""),"KAPTAN ARIF BAYRAKTAR")</f>
        <v>KAPTAN ARIF BAYRAKTAR</v>
      </c>
      <c r="D713" s="5">
        <f>IFERROR(__xludf.DUMMYFUNCTION("""COMPUTED_VALUE"""),9449560.0)</f>
        <v>9449560</v>
      </c>
      <c r="E713" s="5" t="str">
        <f>IFERROR(__xludf.DUMMYFUNCTION("""COMPUTED_VALUE"""),"Chornomorsk")</f>
        <v>Chornomorsk</v>
      </c>
      <c r="F713" s="5" t="str">
        <f>IFERROR(__xludf.DUMMYFUNCTION("""COMPUTED_VALUE"""),"The Netherlands")</f>
        <v>The Netherlands</v>
      </c>
      <c r="G713" s="5" t="str">
        <f>IFERROR(__xludf.DUMMYFUNCTION("""COMPUTED_VALUE"""),"Corn")</f>
        <v>Corn</v>
      </c>
      <c r="H713" s="6">
        <f>IFERROR(__xludf.DUMMYFUNCTION("""COMPUTED_VALUE"""),50000.0)</f>
        <v>50000</v>
      </c>
      <c r="I713" s="7">
        <f>IFERROR(__xludf.DUMMYFUNCTION("""COMPUTED_VALUE"""),44859.0)</f>
        <v>44859</v>
      </c>
      <c r="J713" s="7">
        <f>IFERROR(__xludf.DUMMYFUNCTION("""COMPUTED_VALUE"""),44866.0)</f>
        <v>44866</v>
      </c>
      <c r="K713" s="5" t="str">
        <f>IFERROR(__xludf.DUMMYFUNCTION("""COMPUTED_VALUE"""),"high-income")</f>
        <v>high-income</v>
      </c>
      <c r="L713" s="5" t="str">
        <f>IFERROR(__xludf.DUMMYFUNCTION("""COMPUTED_VALUE"""),"Malta")</f>
        <v>Malta</v>
      </c>
      <c r="M713" s="5" t="str">
        <f>IFERROR(__xludf.DUMMYFUNCTION("""COMPUTED_VALUE"""),"Europe &amp; Central Asia")</f>
        <v>Europe &amp; Central Asia</v>
      </c>
      <c r="N713" s="5" t="str">
        <f>IFERROR(__xludf.DUMMYFUNCTION("""COMPUTED_VALUE"""),"Western Europe and Others")</f>
        <v>Western Europe and Others</v>
      </c>
      <c r="O713" s="5" t="str">
        <f>IFERROR(__xludf.DUMMYFUNCTION("""COMPUTED_VALUE"""),"developed")</f>
        <v>developed</v>
      </c>
      <c r="P713" s="5"/>
      <c r="Q713" s="5"/>
    </row>
    <row r="714">
      <c r="A714" s="5" t="str">
        <f>IFERROR(__xludf.DUMMYFUNCTION("""COMPUTED_VALUE"""),"Outbound")</f>
        <v>Outbound</v>
      </c>
      <c r="B714" s="5">
        <f>IFERROR(__xludf.DUMMYFUNCTION("""COMPUTED_VALUE"""),385.0)</f>
        <v>385</v>
      </c>
      <c r="C714" s="5" t="str">
        <f>IFERROR(__xludf.DUMMYFUNCTION("""COMPUTED_VALUE"""),"CAPTAIN V. MADIAS")</f>
        <v>CAPTAIN V. MADIAS</v>
      </c>
      <c r="D714" s="5">
        <f>IFERROR(__xludf.DUMMYFUNCTION("""COMPUTED_VALUE"""),9617351.0)</f>
        <v>9617351</v>
      </c>
      <c r="E714" s="5" t="str">
        <f>IFERROR(__xludf.DUMMYFUNCTION("""COMPUTED_VALUE"""),"Chornomorsk")</f>
        <v>Chornomorsk</v>
      </c>
      <c r="F714" s="5" t="str">
        <f>IFERROR(__xludf.DUMMYFUNCTION("""COMPUTED_VALUE"""),"China")</f>
        <v>China</v>
      </c>
      <c r="G714" s="5" t="str">
        <f>IFERROR(__xludf.DUMMYFUNCTION("""COMPUTED_VALUE"""),"Corn")</f>
        <v>Corn</v>
      </c>
      <c r="H714" s="6">
        <f>IFERROR(__xludf.DUMMYFUNCTION("""COMPUTED_VALUE"""),63650.0)</f>
        <v>63650</v>
      </c>
      <c r="I714" s="7">
        <f>IFERROR(__xludf.DUMMYFUNCTION("""COMPUTED_VALUE"""),44859.0)</f>
        <v>44859</v>
      </c>
      <c r="J714" s="7">
        <f>IFERROR(__xludf.DUMMYFUNCTION("""COMPUTED_VALUE"""),44866.0)</f>
        <v>44866</v>
      </c>
      <c r="K714" s="5" t="str">
        <f>IFERROR(__xludf.DUMMYFUNCTION("""COMPUTED_VALUE"""),"upper-middle-income")</f>
        <v>upper-middle-income</v>
      </c>
      <c r="L714" s="5" t="str">
        <f>IFERROR(__xludf.DUMMYFUNCTION("""COMPUTED_VALUE"""),"Malta")</f>
        <v>Malta</v>
      </c>
      <c r="M714" s="5" t="str">
        <f>IFERROR(__xludf.DUMMYFUNCTION("""COMPUTED_VALUE"""),"East Asia &amp; Pacific")</f>
        <v>East Asia &amp; Pacific</v>
      </c>
      <c r="N714" s="5" t="str">
        <f>IFERROR(__xludf.DUMMYFUNCTION("""COMPUTED_VALUE"""),"Asia-Pacific")</f>
        <v>Asia-Pacific</v>
      </c>
      <c r="O714" s="5" t="str">
        <f>IFERROR(__xludf.DUMMYFUNCTION("""COMPUTED_VALUE"""),"developing")</f>
        <v>developing</v>
      </c>
      <c r="P714" s="5"/>
      <c r="Q714" s="5"/>
    </row>
    <row r="715">
      <c r="A715" s="5" t="str">
        <f>IFERROR(__xludf.DUMMYFUNCTION("""COMPUTED_VALUE"""),"Outbound")</f>
        <v>Outbound</v>
      </c>
      <c r="B715" s="5">
        <f>IFERROR(__xludf.DUMMYFUNCTION("""COMPUTED_VALUE"""),384.0)</f>
        <v>384</v>
      </c>
      <c r="C715" s="5" t="str">
        <f>IFERROR(__xludf.DUMMYFUNCTION("""COMPUTED_VALUE"""),"CAPTAIN J. NEOFOTISTOS")</f>
        <v>CAPTAIN J. NEOFOTISTOS</v>
      </c>
      <c r="D715" s="5">
        <f>IFERROR(__xludf.DUMMYFUNCTION("""COMPUTED_VALUE"""),9617430.0)</f>
        <v>9617430</v>
      </c>
      <c r="E715" s="5" t="str">
        <f>IFERROR(__xludf.DUMMYFUNCTION("""COMPUTED_VALUE"""),"Yuzhny/Pivdennyi")</f>
        <v>Yuzhny/Pivdennyi</v>
      </c>
      <c r="F715" s="5" t="str">
        <f>IFERROR(__xludf.DUMMYFUNCTION("""COMPUTED_VALUE"""),"Spain")</f>
        <v>Spain</v>
      </c>
      <c r="G715" s="5" t="str">
        <f>IFERROR(__xludf.DUMMYFUNCTION("""COMPUTED_VALUE"""),"Wheat")</f>
        <v>Wheat</v>
      </c>
      <c r="H715" s="6">
        <f>IFERROR(__xludf.DUMMYFUNCTION("""COMPUTED_VALUE"""),68000.0)</f>
        <v>68000</v>
      </c>
      <c r="I715" s="7">
        <f>IFERROR(__xludf.DUMMYFUNCTION("""COMPUTED_VALUE"""),44859.0)</f>
        <v>44859</v>
      </c>
      <c r="J715" s="7">
        <f>IFERROR(__xludf.DUMMYFUNCTION("""COMPUTED_VALUE"""),44866.0)</f>
        <v>44866</v>
      </c>
      <c r="K715" s="5" t="str">
        <f>IFERROR(__xludf.DUMMYFUNCTION("""COMPUTED_VALUE"""),"high-income")</f>
        <v>high-income</v>
      </c>
      <c r="L715" s="5" t="str">
        <f>IFERROR(__xludf.DUMMYFUNCTION("""COMPUTED_VALUE"""),"Liberia")</f>
        <v>Liberia</v>
      </c>
      <c r="M715" s="5" t="str">
        <f>IFERROR(__xludf.DUMMYFUNCTION("""COMPUTED_VALUE"""),"Europe &amp; Central Asia")</f>
        <v>Europe &amp; Central Asia</v>
      </c>
      <c r="N715" s="5" t="str">
        <f>IFERROR(__xludf.DUMMYFUNCTION("""COMPUTED_VALUE"""),"Western Europe and Others")</f>
        <v>Western Europe and Others</v>
      </c>
      <c r="O715" s="5" t="str">
        <f>IFERROR(__xludf.DUMMYFUNCTION("""COMPUTED_VALUE"""),"developed")</f>
        <v>developed</v>
      </c>
      <c r="P715" s="5"/>
      <c r="Q715" s="5"/>
    </row>
    <row r="716">
      <c r="A716" s="5" t="str">
        <f>IFERROR(__xludf.DUMMYFUNCTION("""COMPUTED_VALUE"""),"Outbound")</f>
        <v>Outbound</v>
      </c>
      <c r="B716" s="5">
        <f>IFERROR(__xludf.DUMMYFUNCTION("""COMPUTED_VALUE"""),383.0)</f>
        <v>383</v>
      </c>
      <c r="C716" s="5" t="str">
        <f>IFERROR(__xludf.DUMMYFUNCTION("""COMPUTED_VALUE"""),"MBC DAISY")</f>
        <v>MBC DAISY</v>
      </c>
      <c r="D716" s="5">
        <f>IFERROR(__xludf.DUMMYFUNCTION("""COMPUTED_VALUE"""),9609902.0)</f>
        <v>9609902</v>
      </c>
      <c r="E716" s="5" t="str">
        <f>IFERROR(__xludf.DUMMYFUNCTION("""COMPUTED_VALUE"""),"Chornomorsk")</f>
        <v>Chornomorsk</v>
      </c>
      <c r="F716" s="5" t="str">
        <f>IFERROR(__xludf.DUMMYFUNCTION("""COMPUTED_VALUE"""),"Algeria")</f>
        <v>Algeria</v>
      </c>
      <c r="G716" s="5" t="str">
        <f>IFERROR(__xludf.DUMMYFUNCTION("""COMPUTED_VALUE"""),"Wheat")</f>
        <v>Wheat</v>
      </c>
      <c r="H716" s="6">
        <f>IFERROR(__xludf.DUMMYFUNCTION("""COMPUTED_VALUE"""),14270.0)</f>
        <v>14270</v>
      </c>
      <c r="I716" s="7">
        <f>IFERROR(__xludf.DUMMYFUNCTION("""COMPUTED_VALUE"""),44858.0)</f>
        <v>44858</v>
      </c>
      <c r="J716" s="7">
        <f>IFERROR(__xludf.DUMMYFUNCTION("""COMPUTED_VALUE"""),44867.0)</f>
        <v>44867</v>
      </c>
      <c r="K716" s="5" t="str">
        <f>IFERROR(__xludf.DUMMYFUNCTION("""COMPUTED_VALUE"""),"lower-middle income")</f>
        <v>lower-middle income</v>
      </c>
      <c r="L716" s="5" t="str">
        <f>IFERROR(__xludf.DUMMYFUNCTION("""COMPUTED_VALUE"""),"Panama")</f>
        <v>Panama</v>
      </c>
      <c r="M716" s="5" t="str">
        <f>IFERROR(__xludf.DUMMYFUNCTION("""COMPUTED_VALUE"""),"Middle East &amp; North Africa")</f>
        <v>Middle East &amp; North Africa</v>
      </c>
      <c r="N716" s="5" t="str">
        <f>IFERROR(__xludf.DUMMYFUNCTION("""COMPUTED_VALUE"""),"Africa")</f>
        <v>Africa</v>
      </c>
      <c r="O716" s="5" t="str">
        <f>IFERROR(__xludf.DUMMYFUNCTION("""COMPUTED_VALUE"""),"developing")</f>
        <v>developing</v>
      </c>
      <c r="P716" s="5"/>
      <c r="Q716" s="5"/>
    </row>
    <row r="717">
      <c r="A717" s="5" t="str">
        <f>IFERROR(__xludf.DUMMYFUNCTION("""COMPUTED_VALUE"""),"Outbound")</f>
        <v>Outbound</v>
      </c>
      <c r="B717" s="5">
        <f>IFERROR(__xludf.DUMMYFUNCTION("""COMPUTED_VALUE"""),382.0)</f>
        <v>382</v>
      </c>
      <c r="C717" s="5" t="str">
        <f>IFERROR(__xludf.DUMMYFUNCTION("""COMPUTED_VALUE"""),"FLAG LAMA")</f>
        <v>FLAG LAMA</v>
      </c>
      <c r="D717" s="5">
        <f>IFERROR(__xludf.DUMMYFUNCTION("""COMPUTED_VALUE"""),9474711.0)</f>
        <v>9474711</v>
      </c>
      <c r="E717" s="5" t="str">
        <f>IFERROR(__xludf.DUMMYFUNCTION("""COMPUTED_VALUE"""),"Yuzhny/Pivdennyi")</f>
        <v>Yuzhny/Pivdennyi</v>
      </c>
      <c r="F717" s="5" t="str">
        <f>IFERROR(__xludf.DUMMYFUNCTION("""COMPUTED_VALUE"""),"China")</f>
        <v>China</v>
      </c>
      <c r="G717" s="5" t="str">
        <f>IFERROR(__xludf.DUMMYFUNCTION("""COMPUTED_VALUE"""),"Sunflower meal")</f>
        <v>Sunflower meal</v>
      </c>
      <c r="H717" s="6">
        <f>IFERROR(__xludf.DUMMYFUNCTION("""COMPUTED_VALUE"""),34430.0)</f>
        <v>34430</v>
      </c>
      <c r="I717" s="7">
        <f>IFERROR(__xludf.DUMMYFUNCTION("""COMPUTED_VALUE"""),44858.0)</f>
        <v>44858</v>
      </c>
      <c r="J717" s="7">
        <f>IFERROR(__xludf.DUMMYFUNCTION("""COMPUTED_VALUE"""),44866.0)</f>
        <v>44866</v>
      </c>
      <c r="K717" s="5" t="str">
        <f>IFERROR(__xludf.DUMMYFUNCTION("""COMPUTED_VALUE"""),"upper-middle-income")</f>
        <v>upper-middle-income</v>
      </c>
      <c r="L717" s="5" t="str">
        <f>IFERROR(__xludf.DUMMYFUNCTION("""COMPUTED_VALUE"""),"Marshall Islands")</f>
        <v>Marshall Islands</v>
      </c>
      <c r="M717" s="5" t="str">
        <f>IFERROR(__xludf.DUMMYFUNCTION("""COMPUTED_VALUE"""),"East Asia &amp; Pacific")</f>
        <v>East Asia &amp; Pacific</v>
      </c>
      <c r="N717" s="5" t="str">
        <f>IFERROR(__xludf.DUMMYFUNCTION("""COMPUTED_VALUE"""),"Asia-Pacific")</f>
        <v>Asia-Pacific</v>
      </c>
      <c r="O717" s="5" t="str">
        <f>IFERROR(__xludf.DUMMYFUNCTION("""COMPUTED_VALUE"""),"developing")</f>
        <v>developing</v>
      </c>
      <c r="P717" s="5"/>
      <c r="Q717" s="5"/>
    </row>
    <row r="718">
      <c r="A718" s="5" t="str">
        <f>IFERROR(__xludf.DUMMYFUNCTION("""COMPUTED_VALUE"""),"Outbound +")</f>
        <v>Outbound +</v>
      </c>
      <c r="B718" s="5">
        <f>IFERROR(__xludf.DUMMYFUNCTION("""COMPUTED_VALUE"""),382.0)</f>
        <v>382</v>
      </c>
      <c r="C718" s="5" t="str">
        <f>IFERROR(__xludf.DUMMYFUNCTION("""COMPUTED_VALUE"""),"FLAG LAMA")</f>
        <v>FLAG LAMA</v>
      </c>
      <c r="D718" s="5">
        <f>IFERROR(__xludf.DUMMYFUNCTION("""COMPUTED_VALUE"""),9474711.0)</f>
        <v>9474711</v>
      </c>
      <c r="E718" s="5" t="str">
        <f>IFERROR(__xludf.DUMMYFUNCTION("""COMPUTED_VALUE"""),"Yuzhny/Pivdennyi")</f>
        <v>Yuzhny/Pivdennyi</v>
      </c>
      <c r="F718" s="5" t="str">
        <f>IFERROR(__xludf.DUMMYFUNCTION("""COMPUTED_VALUE"""),"China")</f>
        <v>China</v>
      </c>
      <c r="G718" s="5" t="str">
        <f>IFERROR(__xludf.DUMMYFUNCTION("""COMPUTED_VALUE"""),"Corn")</f>
        <v>Corn</v>
      </c>
      <c r="H718" s="6">
        <f>IFERROR(__xludf.DUMMYFUNCTION("""COMPUTED_VALUE"""),30672.0)</f>
        <v>30672</v>
      </c>
      <c r="I718" s="7">
        <f>IFERROR(__xludf.DUMMYFUNCTION("""COMPUTED_VALUE"""),44858.0)</f>
        <v>44858</v>
      </c>
      <c r="J718" s="7">
        <f>IFERROR(__xludf.DUMMYFUNCTION("""COMPUTED_VALUE"""),44866.0)</f>
        <v>44866</v>
      </c>
      <c r="K718" s="5" t="str">
        <f>IFERROR(__xludf.DUMMYFUNCTION("""COMPUTED_VALUE"""),"upper-middle-income")</f>
        <v>upper-middle-income</v>
      </c>
      <c r="L718" s="5" t="str">
        <f>IFERROR(__xludf.DUMMYFUNCTION("""COMPUTED_VALUE"""),"Marshall Islands")</f>
        <v>Marshall Islands</v>
      </c>
      <c r="M718" s="5" t="str">
        <f>IFERROR(__xludf.DUMMYFUNCTION("""COMPUTED_VALUE"""),"East Asia &amp; Pacific")</f>
        <v>East Asia &amp; Pacific</v>
      </c>
      <c r="N718" s="5" t="str">
        <f>IFERROR(__xludf.DUMMYFUNCTION("""COMPUTED_VALUE"""),"Asia-Pacific")</f>
        <v>Asia-Pacific</v>
      </c>
      <c r="O718" s="5" t="str">
        <f>IFERROR(__xludf.DUMMYFUNCTION("""COMPUTED_VALUE"""),"developing")</f>
        <v>developing</v>
      </c>
      <c r="P718" s="5"/>
      <c r="Q718" s="5"/>
    </row>
    <row r="719">
      <c r="A719" s="5" t="str">
        <f>IFERROR(__xludf.DUMMYFUNCTION("""COMPUTED_VALUE"""),"Outbound")</f>
        <v>Outbound</v>
      </c>
      <c r="B719" s="5">
        <f>IFERROR(__xludf.DUMMYFUNCTION("""COMPUTED_VALUE"""),381.0)</f>
        <v>381</v>
      </c>
      <c r="C719" s="5" t="str">
        <f>IFERROR(__xludf.DUMMYFUNCTION("""COMPUTED_VALUE"""),"C FAITH")</f>
        <v>C FAITH</v>
      </c>
      <c r="D719" s="5">
        <f>IFERROR(__xludf.DUMMYFUNCTION("""COMPUTED_VALUE"""),9575163.0)</f>
        <v>9575163</v>
      </c>
      <c r="E719" s="5" t="str">
        <f>IFERROR(__xludf.DUMMYFUNCTION("""COMPUTED_VALUE"""),"Odesa")</f>
        <v>Odesa</v>
      </c>
      <c r="F719" s="5" t="str">
        <f>IFERROR(__xludf.DUMMYFUNCTION("""COMPUTED_VALUE"""),"Viet Nam")</f>
        <v>Viet Nam</v>
      </c>
      <c r="G719" s="5" t="str">
        <f>IFERROR(__xludf.DUMMYFUNCTION("""COMPUTED_VALUE"""),"Wheat")</f>
        <v>Wheat</v>
      </c>
      <c r="H719" s="6">
        <f>IFERROR(__xludf.DUMMYFUNCTION("""COMPUTED_VALUE"""),56789.0)</f>
        <v>56789</v>
      </c>
      <c r="I719" s="7">
        <f>IFERROR(__xludf.DUMMYFUNCTION("""COMPUTED_VALUE"""),44858.0)</f>
        <v>44858</v>
      </c>
      <c r="J719" s="7">
        <f>IFERROR(__xludf.DUMMYFUNCTION("""COMPUTED_VALUE"""),44865.0)</f>
        <v>44865</v>
      </c>
      <c r="K719" s="5" t="str">
        <f>IFERROR(__xludf.DUMMYFUNCTION("""COMPUTED_VALUE"""),"lower-middle income")</f>
        <v>lower-middle income</v>
      </c>
      <c r="L719" s="5" t="str">
        <f>IFERROR(__xludf.DUMMYFUNCTION("""COMPUTED_VALUE"""),"Marshall Islands")</f>
        <v>Marshall Islands</v>
      </c>
      <c r="M719" s="5" t="str">
        <f>IFERROR(__xludf.DUMMYFUNCTION("""COMPUTED_VALUE"""),"East Asia &amp; Pacific")</f>
        <v>East Asia &amp; Pacific</v>
      </c>
      <c r="N719" s="5" t="str">
        <f>IFERROR(__xludf.DUMMYFUNCTION("""COMPUTED_VALUE"""),"Asia-Pacific")</f>
        <v>Asia-Pacific</v>
      </c>
      <c r="O719" s="5" t="str">
        <f>IFERROR(__xludf.DUMMYFUNCTION("""COMPUTED_VALUE"""),"developing")</f>
        <v>developing</v>
      </c>
      <c r="P719" s="5"/>
      <c r="Q719" s="5"/>
    </row>
    <row r="720">
      <c r="A720" s="5" t="str">
        <f>IFERROR(__xludf.DUMMYFUNCTION("""COMPUTED_VALUE"""),"Outbound")</f>
        <v>Outbound</v>
      </c>
      <c r="B720" s="5">
        <f>IFERROR(__xludf.DUMMYFUNCTION("""COMPUTED_VALUE"""),380.0)</f>
        <v>380</v>
      </c>
      <c r="C720" s="5" t="str">
        <f>IFERROR(__xludf.DUMMYFUNCTION("""COMPUTED_VALUE"""),"BSL CALYPSO")</f>
        <v>BSL CALYPSO</v>
      </c>
      <c r="D720" s="5">
        <f>IFERROR(__xludf.DUMMYFUNCTION("""COMPUTED_VALUE"""),9191448.0)</f>
        <v>9191448</v>
      </c>
      <c r="E720" s="5" t="str">
        <f>IFERROR(__xludf.DUMMYFUNCTION("""COMPUTED_VALUE"""),"Yuzhny/Pivdennyi")</f>
        <v>Yuzhny/Pivdennyi</v>
      </c>
      <c r="F720" s="5" t="str">
        <f>IFERROR(__xludf.DUMMYFUNCTION("""COMPUTED_VALUE"""),"Italy")</f>
        <v>Italy</v>
      </c>
      <c r="G720" s="5" t="str">
        <f>IFERROR(__xludf.DUMMYFUNCTION("""COMPUTED_VALUE"""),"Corn")</f>
        <v>Corn</v>
      </c>
      <c r="H720" s="6">
        <f>IFERROR(__xludf.DUMMYFUNCTION("""COMPUTED_VALUE"""),23500.0)</f>
        <v>23500</v>
      </c>
      <c r="I720" s="7">
        <f>IFERROR(__xludf.DUMMYFUNCTION("""COMPUTED_VALUE"""),44858.0)</f>
        <v>44858</v>
      </c>
      <c r="J720" s="7">
        <f>IFERROR(__xludf.DUMMYFUNCTION("""COMPUTED_VALUE"""),44865.0)</f>
        <v>44865</v>
      </c>
      <c r="K720" s="5" t="str">
        <f>IFERROR(__xludf.DUMMYFUNCTION("""COMPUTED_VALUE"""),"high-income")</f>
        <v>high-income</v>
      </c>
      <c r="L720" s="5" t="str">
        <f>IFERROR(__xludf.DUMMYFUNCTION("""COMPUTED_VALUE"""),"Barbados")</f>
        <v>Barbados</v>
      </c>
      <c r="M720" s="5" t="str">
        <f>IFERROR(__xludf.DUMMYFUNCTION("""COMPUTED_VALUE"""),"Europe &amp; Central Asia")</f>
        <v>Europe &amp; Central Asia</v>
      </c>
      <c r="N720" s="5" t="str">
        <f>IFERROR(__xludf.DUMMYFUNCTION("""COMPUTED_VALUE"""),"Western Europe and Others")</f>
        <v>Western Europe and Others</v>
      </c>
      <c r="O720" s="5" t="str">
        <f>IFERROR(__xludf.DUMMYFUNCTION("""COMPUTED_VALUE"""),"developed")</f>
        <v>developed</v>
      </c>
      <c r="P720" s="5"/>
      <c r="Q720" s="5"/>
    </row>
    <row r="721">
      <c r="A721" s="5" t="str">
        <f>IFERROR(__xludf.DUMMYFUNCTION("""COMPUTED_VALUE"""),"Outbound")</f>
        <v>Outbound</v>
      </c>
      <c r="B721" s="5">
        <f>IFERROR(__xludf.DUMMYFUNCTION("""COMPUTED_VALUE"""),379.0)</f>
        <v>379</v>
      </c>
      <c r="C721" s="5" t="str">
        <f>IFERROR(__xludf.DUMMYFUNCTION("""COMPUTED_VALUE"""),"VALERIO")</f>
        <v>VALERIO</v>
      </c>
      <c r="D721" s="5">
        <f>IFERROR(__xludf.DUMMYFUNCTION("""COMPUTED_VALUE"""),9244037.0)</f>
        <v>9244037</v>
      </c>
      <c r="E721" s="5" t="str">
        <f>IFERROR(__xludf.DUMMYFUNCTION("""COMPUTED_VALUE"""),"Odesa")</f>
        <v>Odesa</v>
      </c>
      <c r="F721" s="5" t="str">
        <f>IFERROR(__xludf.DUMMYFUNCTION("""COMPUTED_VALUE"""),"Spain")</f>
        <v>Spain</v>
      </c>
      <c r="G721" s="5" t="str">
        <f>IFERROR(__xludf.DUMMYFUNCTION("""COMPUTED_VALUE"""),"Wheat")</f>
        <v>Wheat</v>
      </c>
      <c r="H721" s="6">
        <f>IFERROR(__xludf.DUMMYFUNCTION("""COMPUTED_VALUE"""),25000.0)</f>
        <v>25000</v>
      </c>
      <c r="I721" s="7">
        <f>IFERROR(__xludf.DUMMYFUNCTION("""COMPUTED_VALUE"""),44857.0)</f>
        <v>44857</v>
      </c>
      <c r="J721" s="7">
        <f>IFERROR(__xludf.DUMMYFUNCTION("""COMPUTED_VALUE"""),44866.0)</f>
        <v>44866</v>
      </c>
      <c r="K721" s="5" t="str">
        <f>IFERROR(__xludf.DUMMYFUNCTION("""COMPUTED_VALUE"""),"high-income")</f>
        <v>high-income</v>
      </c>
      <c r="L721" s="5" t="str">
        <f>IFERROR(__xludf.DUMMYFUNCTION("""COMPUTED_VALUE"""),"Barbados")</f>
        <v>Barbados</v>
      </c>
      <c r="M721" s="5" t="str">
        <f>IFERROR(__xludf.DUMMYFUNCTION("""COMPUTED_VALUE"""),"Europe &amp; Central Asia")</f>
        <v>Europe &amp; Central Asia</v>
      </c>
      <c r="N721" s="5" t="str">
        <f>IFERROR(__xludf.DUMMYFUNCTION("""COMPUTED_VALUE"""),"Western Europe and Others")</f>
        <v>Western Europe and Others</v>
      </c>
      <c r="O721" s="5" t="str">
        <f>IFERROR(__xludf.DUMMYFUNCTION("""COMPUTED_VALUE"""),"developed")</f>
        <v>developed</v>
      </c>
      <c r="P721" s="5"/>
      <c r="Q721" s="5"/>
    </row>
    <row r="722">
      <c r="A722" s="5" t="str">
        <f>IFERROR(__xludf.DUMMYFUNCTION("""COMPUTED_VALUE"""),"Outbound")</f>
        <v>Outbound</v>
      </c>
      <c r="B722" s="5">
        <f>IFERROR(__xludf.DUMMYFUNCTION("""COMPUTED_VALUE"""),378.0)</f>
        <v>378</v>
      </c>
      <c r="C722" s="5" t="str">
        <f>IFERROR(__xludf.DUMMYFUNCTION("""COMPUTED_VALUE"""),"TORC")</f>
        <v>TORC</v>
      </c>
      <c r="D722" s="5">
        <f>IFERROR(__xludf.DUMMYFUNCTION("""COMPUTED_VALUE"""),9544683.0)</f>
        <v>9544683</v>
      </c>
      <c r="E722" s="5" t="str">
        <f>IFERROR(__xludf.DUMMYFUNCTION("""COMPUTED_VALUE"""),"Yuzhny/Pivdennyi")</f>
        <v>Yuzhny/Pivdennyi</v>
      </c>
      <c r="F722" s="5" t="str">
        <f>IFERROR(__xludf.DUMMYFUNCTION("""COMPUTED_VALUE"""),"Türkiye")</f>
        <v>Türkiye</v>
      </c>
      <c r="G722" s="5" t="str">
        <f>IFERROR(__xludf.DUMMYFUNCTION("""COMPUTED_VALUE"""),"Sunflower oil")</f>
        <v>Sunflower oil</v>
      </c>
      <c r="H722" s="6">
        <f>IFERROR(__xludf.DUMMYFUNCTION("""COMPUTED_VALUE"""),12600.0)</f>
        <v>12600</v>
      </c>
      <c r="I722" s="7">
        <f>IFERROR(__xludf.DUMMYFUNCTION("""COMPUTED_VALUE"""),44857.0)</f>
        <v>44857</v>
      </c>
      <c r="J722" s="7">
        <f>IFERROR(__xludf.DUMMYFUNCTION("""COMPUTED_VALUE"""),44865.0)</f>
        <v>44865</v>
      </c>
      <c r="K722" s="5" t="str">
        <f>IFERROR(__xludf.DUMMYFUNCTION("""COMPUTED_VALUE"""),"upper-middle-income")</f>
        <v>upper-middle-income</v>
      </c>
      <c r="L722" s="5" t="str">
        <f>IFERROR(__xludf.DUMMYFUNCTION("""COMPUTED_VALUE"""),"Malta")</f>
        <v>Malta</v>
      </c>
      <c r="M722" s="5" t="str">
        <f>IFERROR(__xludf.DUMMYFUNCTION("""COMPUTED_VALUE"""),"Europe &amp; Central Asia")</f>
        <v>Europe &amp; Central Asia</v>
      </c>
      <c r="N722" s="5" t="str">
        <f>IFERROR(__xludf.DUMMYFUNCTION("""COMPUTED_VALUE"""),"Asia-Pacific")</f>
        <v>Asia-Pacific</v>
      </c>
      <c r="O722" s="5" t="str">
        <f>IFERROR(__xludf.DUMMYFUNCTION("""COMPUTED_VALUE"""),"developing")</f>
        <v>developing</v>
      </c>
      <c r="P722" s="5"/>
      <c r="Q722" s="5"/>
    </row>
    <row r="723">
      <c r="A723" s="5" t="str">
        <f>IFERROR(__xludf.DUMMYFUNCTION("""COMPUTED_VALUE"""),"Outbound")</f>
        <v>Outbound</v>
      </c>
      <c r="B723" s="5">
        <f>IFERROR(__xludf.DUMMYFUNCTION("""COMPUTED_VALUE"""),377.0)</f>
        <v>377</v>
      </c>
      <c r="C723" s="5" t="str">
        <f>IFERROR(__xludf.DUMMYFUNCTION("""COMPUTED_VALUE"""),"PANGEO (WFP)")</f>
        <v>PANGEO (WFP)</v>
      </c>
      <c r="D723" s="5">
        <f>IFERROR(__xludf.DUMMYFUNCTION("""COMPUTED_VALUE"""),9467873.0)</f>
        <v>9467873</v>
      </c>
      <c r="E723" s="5" t="str">
        <f>IFERROR(__xludf.DUMMYFUNCTION("""COMPUTED_VALUE"""),"Chornomorsk")</f>
        <v>Chornomorsk</v>
      </c>
      <c r="F723" s="5" t="str">
        <f>IFERROR(__xludf.DUMMYFUNCTION("""COMPUTED_VALUE"""),"Yemen")</f>
        <v>Yemen</v>
      </c>
      <c r="G723" s="5" t="str">
        <f>IFERROR(__xludf.DUMMYFUNCTION("""COMPUTED_VALUE"""),"Wheat")</f>
        <v>Wheat</v>
      </c>
      <c r="H723" s="6">
        <f>IFERROR(__xludf.DUMMYFUNCTION("""COMPUTED_VALUE"""),30000.0)</f>
        <v>30000</v>
      </c>
      <c r="I723" s="7">
        <f>IFERROR(__xludf.DUMMYFUNCTION("""COMPUTED_VALUE"""),44857.0)</f>
        <v>44857</v>
      </c>
      <c r="J723" s="7">
        <f>IFERROR(__xludf.DUMMYFUNCTION("""COMPUTED_VALUE"""),44865.0)</f>
        <v>44865</v>
      </c>
      <c r="K723" s="5" t="str">
        <f>IFERROR(__xludf.DUMMYFUNCTION("""COMPUTED_VALUE"""),"low-income")</f>
        <v>low-income</v>
      </c>
      <c r="L723" s="5" t="str">
        <f>IFERROR(__xludf.DUMMYFUNCTION("""COMPUTED_VALUE"""),"Liberia")</f>
        <v>Liberia</v>
      </c>
      <c r="M723" s="5" t="str">
        <f>IFERROR(__xludf.DUMMYFUNCTION("""COMPUTED_VALUE"""),"Middle East &amp; North Africa")</f>
        <v>Middle East &amp; North Africa</v>
      </c>
      <c r="N723" s="5" t="str">
        <f>IFERROR(__xludf.DUMMYFUNCTION("""COMPUTED_VALUE"""),"Asia-Pacific")</f>
        <v>Asia-Pacific</v>
      </c>
      <c r="O723" s="5" t="str">
        <f>IFERROR(__xludf.DUMMYFUNCTION("""COMPUTED_VALUE"""),"developing")</f>
        <v>developing</v>
      </c>
      <c r="P723" s="5" t="str">
        <f>IFERROR(__xludf.DUMMYFUNCTION("""COMPUTED_VALUE"""),"WFP")</f>
        <v>WFP</v>
      </c>
      <c r="Q723" s="5"/>
    </row>
    <row r="724">
      <c r="A724" s="5" t="str">
        <f>IFERROR(__xludf.DUMMYFUNCTION("""COMPUTED_VALUE"""),"Outbound +")</f>
        <v>Outbound +</v>
      </c>
      <c r="B724" s="5">
        <f>IFERROR(__xludf.DUMMYFUNCTION("""COMPUTED_VALUE"""),377.0)</f>
        <v>377</v>
      </c>
      <c r="C724" s="5" t="str">
        <f>IFERROR(__xludf.DUMMYFUNCTION("""COMPUTED_VALUE"""),"PANGEO (WFP)")</f>
        <v>PANGEO (WFP)</v>
      </c>
      <c r="D724" s="5">
        <f>IFERROR(__xludf.DUMMYFUNCTION("""COMPUTED_VALUE"""),9467873.0)</f>
        <v>9467873</v>
      </c>
      <c r="E724" s="5" t="str">
        <f>IFERROR(__xludf.DUMMYFUNCTION("""COMPUTED_VALUE"""),"Chornomorsk")</f>
        <v>Chornomorsk</v>
      </c>
      <c r="F724" s="5" t="str">
        <f>IFERROR(__xludf.DUMMYFUNCTION("""COMPUTED_VALUE"""),"Afghanistan")</f>
        <v>Afghanistan</v>
      </c>
      <c r="G724" s="5" t="str">
        <f>IFERROR(__xludf.DUMMYFUNCTION("""COMPUTED_VALUE"""),"Wheat")</f>
        <v>Wheat</v>
      </c>
      <c r="H724" s="6">
        <f>IFERROR(__xludf.DUMMYFUNCTION("""COMPUTED_VALUE"""),10000.0)</f>
        <v>10000</v>
      </c>
      <c r="I724" s="7">
        <f>IFERROR(__xludf.DUMMYFUNCTION("""COMPUTED_VALUE"""),44857.0)</f>
        <v>44857</v>
      </c>
      <c r="J724" s="7">
        <f>IFERROR(__xludf.DUMMYFUNCTION("""COMPUTED_VALUE"""),44865.0)</f>
        <v>44865</v>
      </c>
      <c r="K724" s="5" t="str">
        <f>IFERROR(__xludf.DUMMYFUNCTION("""COMPUTED_VALUE"""),"low-income")</f>
        <v>low-income</v>
      </c>
      <c r="L724" s="5" t="str">
        <f>IFERROR(__xludf.DUMMYFUNCTION("""COMPUTED_VALUE"""),"Liberia")</f>
        <v>Liberia</v>
      </c>
      <c r="M724" s="5" t="str">
        <f>IFERROR(__xludf.DUMMYFUNCTION("""COMPUTED_VALUE"""),"South Asia")</f>
        <v>South Asia</v>
      </c>
      <c r="N724" s="5" t="str">
        <f>IFERROR(__xludf.DUMMYFUNCTION("""COMPUTED_VALUE"""),"Asia-Pacific")</f>
        <v>Asia-Pacific</v>
      </c>
      <c r="O724" s="5" t="str">
        <f>IFERROR(__xludf.DUMMYFUNCTION("""COMPUTED_VALUE"""),"developing")</f>
        <v>developing</v>
      </c>
      <c r="P724" s="5" t="str">
        <f>IFERROR(__xludf.DUMMYFUNCTION("""COMPUTED_VALUE"""),"WFP")</f>
        <v>WFP</v>
      </c>
      <c r="Q724" s="5"/>
    </row>
    <row r="725">
      <c r="A725" s="5" t="str">
        <f>IFERROR(__xludf.DUMMYFUNCTION("""COMPUTED_VALUE"""),"Outbound")</f>
        <v>Outbound</v>
      </c>
      <c r="B725" s="5">
        <f>IFERROR(__xludf.DUMMYFUNCTION("""COMPUTED_VALUE"""),376.0)</f>
        <v>376</v>
      </c>
      <c r="C725" s="5" t="str">
        <f>IFERROR(__xludf.DUMMYFUNCTION("""COMPUTED_VALUE"""),"MAGPIE S")</f>
        <v>MAGPIE S</v>
      </c>
      <c r="D725" s="5">
        <f>IFERROR(__xludf.DUMMYFUNCTION("""COMPUTED_VALUE"""),9188922.0)</f>
        <v>9188922</v>
      </c>
      <c r="E725" s="5" t="str">
        <f>IFERROR(__xludf.DUMMYFUNCTION("""COMPUTED_VALUE"""),"Odesa")</f>
        <v>Odesa</v>
      </c>
      <c r="F725" s="5" t="str">
        <f>IFERROR(__xludf.DUMMYFUNCTION("""COMPUTED_VALUE"""),"Italy")</f>
        <v>Italy</v>
      </c>
      <c r="G725" s="5" t="str">
        <f>IFERROR(__xludf.DUMMYFUNCTION("""COMPUTED_VALUE"""),"Soya beans")</f>
        <v>Soya beans</v>
      </c>
      <c r="H725" s="6">
        <f>IFERROR(__xludf.DUMMYFUNCTION("""COMPUTED_VALUE"""),8400.0)</f>
        <v>8400</v>
      </c>
      <c r="I725" s="7">
        <f>IFERROR(__xludf.DUMMYFUNCTION("""COMPUTED_VALUE"""),44857.0)</f>
        <v>44857</v>
      </c>
      <c r="J725" s="7">
        <f>IFERROR(__xludf.DUMMYFUNCTION("""COMPUTED_VALUE"""),44865.0)</f>
        <v>44865</v>
      </c>
      <c r="K725" s="5" t="str">
        <f>IFERROR(__xludf.DUMMYFUNCTION("""COMPUTED_VALUE"""),"high-income")</f>
        <v>high-income</v>
      </c>
      <c r="L725" s="5" t="str">
        <f>IFERROR(__xludf.DUMMYFUNCTION("""COMPUTED_VALUE"""),"Liberia")</f>
        <v>Liberia</v>
      </c>
      <c r="M725" s="5" t="str">
        <f>IFERROR(__xludf.DUMMYFUNCTION("""COMPUTED_VALUE"""),"Europe &amp; Central Asia")</f>
        <v>Europe &amp; Central Asia</v>
      </c>
      <c r="N725" s="5" t="str">
        <f>IFERROR(__xludf.DUMMYFUNCTION("""COMPUTED_VALUE"""),"Western Europe and Others")</f>
        <v>Western Europe and Others</v>
      </c>
      <c r="O725" s="5" t="str">
        <f>IFERROR(__xludf.DUMMYFUNCTION("""COMPUTED_VALUE"""),"developed")</f>
        <v>developed</v>
      </c>
      <c r="P725" s="5"/>
      <c r="Q725" s="5"/>
    </row>
    <row r="726">
      <c r="A726" s="5" t="str">
        <f>IFERROR(__xludf.DUMMYFUNCTION("""COMPUTED_VALUE"""),"Outbound")</f>
        <v>Outbound</v>
      </c>
      <c r="B726" s="5">
        <f>IFERROR(__xludf.DUMMYFUNCTION("""COMPUTED_VALUE"""),375.0)</f>
        <v>375</v>
      </c>
      <c r="C726" s="5" t="str">
        <f>IFERROR(__xludf.DUMMYFUNCTION("""COMPUTED_VALUE"""),"LADY LITEL")</f>
        <v>LADY LITEL</v>
      </c>
      <c r="D726" s="5">
        <f>IFERROR(__xludf.DUMMYFUNCTION("""COMPUTED_VALUE"""),9571428.0)</f>
        <v>9571428</v>
      </c>
      <c r="E726" s="5" t="str">
        <f>IFERROR(__xludf.DUMMYFUNCTION("""COMPUTED_VALUE"""),"Odesa")</f>
        <v>Odesa</v>
      </c>
      <c r="F726" s="5" t="str">
        <f>IFERROR(__xludf.DUMMYFUNCTION("""COMPUTED_VALUE"""),"Spain")</f>
        <v>Spain</v>
      </c>
      <c r="G726" s="5" t="str">
        <f>IFERROR(__xludf.DUMMYFUNCTION("""COMPUTED_VALUE"""),"Corn")</f>
        <v>Corn</v>
      </c>
      <c r="H726" s="6">
        <f>IFERROR(__xludf.DUMMYFUNCTION("""COMPUTED_VALUE"""),17800.0)</f>
        <v>17800</v>
      </c>
      <c r="I726" s="7">
        <f>IFERROR(__xludf.DUMMYFUNCTION("""COMPUTED_VALUE"""),44857.0)</f>
        <v>44857</v>
      </c>
      <c r="J726" s="7">
        <f>IFERROR(__xludf.DUMMYFUNCTION("""COMPUTED_VALUE"""),44865.0)</f>
        <v>44865</v>
      </c>
      <c r="K726" s="5" t="str">
        <f>IFERROR(__xludf.DUMMYFUNCTION("""COMPUTED_VALUE"""),"high-income")</f>
        <v>high-income</v>
      </c>
      <c r="L726" s="5" t="str">
        <f>IFERROR(__xludf.DUMMYFUNCTION("""COMPUTED_VALUE"""),"Bahamas")</f>
        <v>Bahamas</v>
      </c>
      <c r="M726" s="5" t="str">
        <f>IFERROR(__xludf.DUMMYFUNCTION("""COMPUTED_VALUE"""),"Europe &amp; Central Asia")</f>
        <v>Europe &amp; Central Asia</v>
      </c>
      <c r="N726" s="5" t="str">
        <f>IFERROR(__xludf.DUMMYFUNCTION("""COMPUTED_VALUE"""),"Western Europe and Others")</f>
        <v>Western Europe and Others</v>
      </c>
      <c r="O726" s="5" t="str">
        <f>IFERROR(__xludf.DUMMYFUNCTION("""COMPUTED_VALUE"""),"developed")</f>
        <v>developed</v>
      </c>
      <c r="P726" s="5"/>
      <c r="Q726" s="5"/>
    </row>
    <row r="727">
      <c r="A727" s="5" t="str">
        <f>IFERROR(__xludf.DUMMYFUNCTION("""COMPUTED_VALUE"""),"Outbound +")</f>
        <v>Outbound +</v>
      </c>
      <c r="B727" s="5">
        <f>IFERROR(__xludf.DUMMYFUNCTION("""COMPUTED_VALUE"""),375.0)</f>
        <v>375</v>
      </c>
      <c r="C727" s="5" t="str">
        <f>IFERROR(__xludf.DUMMYFUNCTION("""COMPUTED_VALUE"""),"LADY LITEL")</f>
        <v>LADY LITEL</v>
      </c>
      <c r="D727" s="5">
        <f>IFERROR(__xludf.DUMMYFUNCTION("""COMPUTED_VALUE"""),9571428.0)</f>
        <v>9571428</v>
      </c>
      <c r="E727" s="5" t="str">
        <f>IFERROR(__xludf.DUMMYFUNCTION("""COMPUTED_VALUE"""),"Odesa")</f>
        <v>Odesa</v>
      </c>
      <c r="F727" s="5" t="str">
        <f>IFERROR(__xludf.DUMMYFUNCTION("""COMPUTED_VALUE"""),"Spain")</f>
        <v>Spain</v>
      </c>
      <c r="G727" s="5" t="str">
        <f>IFERROR(__xludf.DUMMYFUNCTION("""COMPUTED_VALUE"""),"Wheat")</f>
        <v>Wheat</v>
      </c>
      <c r="H727" s="6">
        <f>IFERROR(__xludf.DUMMYFUNCTION("""COMPUTED_VALUE"""),8000.0)</f>
        <v>8000</v>
      </c>
      <c r="I727" s="7">
        <f>IFERROR(__xludf.DUMMYFUNCTION("""COMPUTED_VALUE"""),44857.0)</f>
        <v>44857</v>
      </c>
      <c r="J727" s="7">
        <f>IFERROR(__xludf.DUMMYFUNCTION("""COMPUTED_VALUE"""),44865.0)</f>
        <v>44865</v>
      </c>
      <c r="K727" s="5" t="str">
        <f>IFERROR(__xludf.DUMMYFUNCTION("""COMPUTED_VALUE"""),"high-income")</f>
        <v>high-income</v>
      </c>
      <c r="L727" s="5" t="str">
        <f>IFERROR(__xludf.DUMMYFUNCTION("""COMPUTED_VALUE"""),"Bahamas")</f>
        <v>Bahamas</v>
      </c>
      <c r="M727" s="5" t="str">
        <f>IFERROR(__xludf.DUMMYFUNCTION("""COMPUTED_VALUE"""),"Europe &amp; Central Asia")</f>
        <v>Europe &amp; Central Asia</v>
      </c>
      <c r="N727" s="5" t="str">
        <f>IFERROR(__xludf.DUMMYFUNCTION("""COMPUTED_VALUE"""),"Western Europe and Others")</f>
        <v>Western Europe and Others</v>
      </c>
      <c r="O727" s="5" t="str">
        <f>IFERROR(__xludf.DUMMYFUNCTION("""COMPUTED_VALUE"""),"developed")</f>
        <v>developed</v>
      </c>
      <c r="P727" s="5"/>
      <c r="Q727" s="5"/>
    </row>
    <row r="728">
      <c r="A728" s="5" t="str">
        <f>IFERROR(__xludf.DUMMYFUNCTION("""COMPUTED_VALUE"""),"Outbound +")</f>
        <v>Outbound +</v>
      </c>
      <c r="B728" s="5">
        <f>IFERROR(__xludf.DUMMYFUNCTION("""COMPUTED_VALUE"""),375.0)</f>
        <v>375</v>
      </c>
      <c r="C728" s="5" t="str">
        <f>IFERROR(__xludf.DUMMYFUNCTION("""COMPUTED_VALUE"""),"LADY LITEL")</f>
        <v>LADY LITEL</v>
      </c>
      <c r="D728" s="5">
        <f>IFERROR(__xludf.DUMMYFUNCTION("""COMPUTED_VALUE"""),9571428.0)</f>
        <v>9571428</v>
      </c>
      <c r="E728" s="5" t="str">
        <f>IFERROR(__xludf.DUMMYFUNCTION("""COMPUTED_VALUE"""),"Odesa")</f>
        <v>Odesa</v>
      </c>
      <c r="F728" s="5" t="str">
        <f>IFERROR(__xludf.DUMMYFUNCTION("""COMPUTED_VALUE"""),"Spain")</f>
        <v>Spain</v>
      </c>
      <c r="G728" s="5" t="str">
        <f>IFERROR(__xludf.DUMMYFUNCTION("""COMPUTED_VALUE"""),"Barley")</f>
        <v>Barley</v>
      </c>
      <c r="H728" s="6">
        <f>IFERROR(__xludf.DUMMYFUNCTION("""COMPUTED_VALUE"""),6300.0)</f>
        <v>6300</v>
      </c>
      <c r="I728" s="7">
        <f>IFERROR(__xludf.DUMMYFUNCTION("""COMPUTED_VALUE"""),44857.0)</f>
        <v>44857</v>
      </c>
      <c r="J728" s="7">
        <f>IFERROR(__xludf.DUMMYFUNCTION("""COMPUTED_VALUE"""),44865.0)</f>
        <v>44865</v>
      </c>
      <c r="K728" s="5" t="str">
        <f>IFERROR(__xludf.DUMMYFUNCTION("""COMPUTED_VALUE"""),"high-income")</f>
        <v>high-income</v>
      </c>
      <c r="L728" s="5" t="str">
        <f>IFERROR(__xludf.DUMMYFUNCTION("""COMPUTED_VALUE"""),"Bahamas")</f>
        <v>Bahamas</v>
      </c>
      <c r="M728" s="5" t="str">
        <f>IFERROR(__xludf.DUMMYFUNCTION("""COMPUTED_VALUE"""),"Europe &amp; Central Asia")</f>
        <v>Europe &amp; Central Asia</v>
      </c>
      <c r="N728" s="5" t="str">
        <f>IFERROR(__xludf.DUMMYFUNCTION("""COMPUTED_VALUE"""),"Western Europe and Others")</f>
        <v>Western Europe and Others</v>
      </c>
      <c r="O728" s="5" t="str">
        <f>IFERROR(__xludf.DUMMYFUNCTION("""COMPUTED_VALUE"""),"developed")</f>
        <v>developed</v>
      </c>
      <c r="P728" s="5"/>
      <c r="Q728" s="5"/>
    </row>
    <row r="729">
      <c r="A729" s="5" t="str">
        <f>IFERROR(__xludf.DUMMYFUNCTION("""COMPUTED_VALUE"""),"Outbound")</f>
        <v>Outbound</v>
      </c>
      <c r="B729" s="5">
        <f>IFERROR(__xludf.DUMMYFUNCTION("""COMPUTED_VALUE"""),374.0)</f>
        <v>374</v>
      </c>
      <c r="C729" s="5" t="str">
        <f>IFERROR(__xludf.DUMMYFUNCTION("""COMPUTED_VALUE"""),"I.B. MAMMADZADEH")</f>
        <v>I.B. MAMMADZADEH</v>
      </c>
      <c r="D729" s="5">
        <f>IFERROR(__xludf.DUMMYFUNCTION("""COMPUTED_VALUE"""),9736688.0)</f>
        <v>9736688</v>
      </c>
      <c r="E729" s="5" t="str">
        <f>IFERROR(__xludf.DUMMYFUNCTION("""COMPUTED_VALUE"""),"Odesa")</f>
        <v>Odesa</v>
      </c>
      <c r="F729" s="5" t="str">
        <f>IFERROR(__xludf.DUMMYFUNCTION("""COMPUTED_VALUE"""),"Türkiye")</f>
        <v>Türkiye</v>
      </c>
      <c r="G729" s="5" t="str">
        <f>IFERROR(__xludf.DUMMYFUNCTION("""COMPUTED_VALUE"""),"Sunflower oil")</f>
        <v>Sunflower oil</v>
      </c>
      <c r="H729" s="6">
        <f>IFERROR(__xludf.DUMMYFUNCTION("""COMPUTED_VALUE"""),6200.0)</f>
        <v>6200</v>
      </c>
      <c r="I729" s="7">
        <f>IFERROR(__xludf.DUMMYFUNCTION("""COMPUTED_VALUE"""),44857.0)</f>
        <v>44857</v>
      </c>
      <c r="J729" s="7">
        <f>IFERROR(__xludf.DUMMYFUNCTION("""COMPUTED_VALUE"""),44866.0)</f>
        <v>44866</v>
      </c>
      <c r="K729" s="5" t="str">
        <f>IFERROR(__xludf.DUMMYFUNCTION("""COMPUTED_VALUE"""),"upper-middle-income")</f>
        <v>upper-middle-income</v>
      </c>
      <c r="L729" s="5" t="str">
        <f>IFERROR(__xludf.DUMMYFUNCTION("""COMPUTED_VALUE"""),"Liberia")</f>
        <v>Liberia</v>
      </c>
      <c r="M729" s="5" t="str">
        <f>IFERROR(__xludf.DUMMYFUNCTION("""COMPUTED_VALUE"""),"Europe &amp; Central Asia")</f>
        <v>Europe &amp; Central Asia</v>
      </c>
      <c r="N729" s="5" t="str">
        <f>IFERROR(__xludf.DUMMYFUNCTION("""COMPUTED_VALUE"""),"Asia-Pacific")</f>
        <v>Asia-Pacific</v>
      </c>
      <c r="O729" s="5" t="str">
        <f>IFERROR(__xludf.DUMMYFUNCTION("""COMPUTED_VALUE"""),"developing")</f>
        <v>developing</v>
      </c>
      <c r="P729" s="5"/>
      <c r="Q729" s="5"/>
    </row>
    <row r="730">
      <c r="A730" s="5" t="str">
        <f>IFERROR(__xludf.DUMMYFUNCTION("""COMPUTED_VALUE"""),"Outbound")</f>
        <v>Outbound</v>
      </c>
      <c r="B730" s="5">
        <f>IFERROR(__xludf.DUMMYFUNCTION("""COMPUTED_VALUE"""),373.0)</f>
        <v>373</v>
      </c>
      <c r="C730" s="5" t="str">
        <f>IFERROR(__xludf.DUMMYFUNCTION("""COMPUTED_VALUE"""),"SUMMER LADY")</f>
        <v>SUMMER LADY</v>
      </c>
      <c r="D730" s="5">
        <f>IFERROR(__xludf.DUMMYFUNCTION("""COMPUTED_VALUE"""),9184938.0)</f>
        <v>9184938</v>
      </c>
      <c r="E730" s="5" t="str">
        <f>IFERROR(__xludf.DUMMYFUNCTION("""COMPUTED_VALUE"""),"Chornomorsk")</f>
        <v>Chornomorsk</v>
      </c>
      <c r="F730" s="5" t="str">
        <f>IFERROR(__xludf.DUMMYFUNCTION("""COMPUTED_VALUE"""),"France")</f>
        <v>France</v>
      </c>
      <c r="G730" s="5" t="str">
        <f>IFERROR(__xludf.DUMMYFUNCTION("""COMPUTED_VALUE"""),"Rapeseed")</f>
        <v>Rapeseed</v>
      </c>
      <c r="H730" s="6">
        <f>IFERROR(__xludf.DUMMYFUNCTION("""COMPUTED_VALUE"""),55457.0)</f>
        <v>55457</v>
      </c>
      <c r="I730" s="7">
        <f>IFERROR(__xludf.DUMMYFUNCTION("""COMPUTED_VALUE"""),44856.0)</f>
        <v>44856</v>
      </c>
      <c r="J730" s="7">
        <f>IFERROR(__xludf.DUMMYFUNCTION("""COMPUTED_VALUE"""),44865.0)</f>
        <v>44865</v>
      </c>
      <c r="K730" s="5" t="str">
        <f>IFERROR(__xludf.DUMMYFUNCTION("""COMPUTED_VALUE"""),"high-income")</f>
        <v>high-income</v>
      </c>
      <c r="L730" s="5" t="str">
        <f>IFERROR(__xludf.DUMMYFUNCTION("""COMPUTED_VALUE"""),"Marshall Islands")</f>
        <v>Marshall Islands</v>
      </c>
      <c r="M730" s="5" t="str">
        <f>IFERROR(__xludf.DUMMYFUNCTION("""COMPUTED_VALUE"""),"Europe &amp; Central Asia")</f>
        <v>Europe &amp; Central Asia</v>
      </c>
      <c r="N730" s="5" t="str">
        <f>IFERROR(__xludf.DUMMYFUNCTION("""COMPUTED_VALUE"""),"Western Europe and Others")</f>
        <v>Western Europe and Others</v>
      </c>
      <c r="O730" s="5" t="str">
        <f>IFERROR(__xludf.DUMMYFUNCTION("""COMPUTED_VALUE"""),"developed")</f>
        <v>developed</v>
      </c>
      <c r="P730" s="5"/>
      <c r="Q730" s="5"/>
    </row>
    <row r="731">
      <c r="A731" s="5" t="str">
        <f>IFERROR(__xludf.DUMMYFUNCTION("""COMPUTED_VALUE"""),"Outbound")</f>
        <v>Outbound</v>
      </c>
      <c r="B731" s="5">
        <f>IFERROR(__xludf.DUMMYFUNCTION("""COMPUTED_VALUE"""),372.0)</f>
        <v>372</v>
      </c>
      <c r="C731" s="5" t="str">
        <f>IFERROR(__xludf.DUMMYFUNCTION("""COMPUTED_VALUE"""),"PROFESSOR B")</f>
        <v>PROFESSOR B</v>
      </c>
      <c r="D731" s="5">
        <f>IFERROR(__xludf.DUMMYFUNCTION("""COMPUTED_VALUE"""),8401523.0)</f>
        <v>8401523</v>
      </c>
      <c r="E731" s="5" t="str">
        <f>IFERROR(__xludf.DUMMYFUNCTION("""COMPUTED_VALUE"""),"Chornomorsk")</f>
        <v>Chornomorsk</v>
      </c>
      <c r="F731" s="5" t="str">
        <f>IFERROR(__xludf.DUMMYFUNCTION("""COMPUTED_VALUE"""),"Türkiye")</f>
        <v>Türkiye</v>
      </c>
      <c r="G731" s="5" t="str">
        <f>IFERROR(__xludf.DUMMYFUNCTION("""COMPUTED_VALUE"""),"Barley")</f>
        <v>Barley</v>
      </c>
      <c r="H731" s="6">
        <f>IFERROR(__xludf.DUMMYFUNCTION("""COMPUTED_VALUE"""),12000.0)</f>
        <v>12000</v>
      </c>
      <c r="I731" s="7">
        <f>IFERROR(__xludf.DUMMYFUNCTION("""COMPUTED_VALUE"""),44856.0)</f>
        <v>44856</v>
      </c>
      <c r="J731" s="7">
        <f>IFERROR(__xludf.DUMMYFUNCTION("""COMPUTED_VALUE"""),44865.0)</f>
        <v>44865</v>
      </c>
      <c r="K731" s="5" t="str">
        <f>IFERROR(__xludf.DUMMYFUNCTION("""COMPUTED_VALUE"""),"upper-middle-income")</f>
        <v>upper-middle-income</v>
      </c>
      <c r="L731" s="5" t="str">
        <f>IFERROR(__xludf.DUMMYFUNCTION("""COMPUTED_VALUE"""),"Comoros")</f>
        <v>Comoros</v>
      </c>
      <c r="M731" s="5" t="str">
        <f>IFERROR(__xludf.DUMMYFUNCTION("""COMPUTED_VALUE"""),"Europe &amp; Central Asia")</f>
        <v>Europe &amp; Central Asia</v>
      </c>
      <c r="N731" s="5" t="str">
        <f>IFERROR(__xludf.DUMMYFUNCTION("""COMPUTED_VALUE"""),"Asia-Pacific")</f>
        <v>Asia-Pacific</v>
      </c>
      <c r="O731" s="5" t="str">
        <f>IFERROR(__xludf.DUMMYFUNCTION("""COMPUTED_VALUE"""),"developing")</f>
        <v>developing</v>
      </c>
      <c r="P731" s="5"/>
      <c r="Q731" s="5"/>
    </row>
    <row r="732">
      <c r="A732" s="5" t="str">
        <f>IFERROR(__xludf.DUMMYFUNCTION("""COMPUTED_VALUE"""),"Outbound")</f>
        <v>Outbound</v>
      </c>
      <c r="B732" s="5">
        <f>IFERROR(__xludf.DUMMYFUNCTION("""COMPUTED_VALUE"""),371.0)</f>
        <v>371</v>
      </c>
      <c r="C732" s="5" t="str">
        <f>IFERROR(__xludf.DUMMYFUNCTION("""COMPUTED_VALUE"""),"ISLAND BAY")</f>
        <v>ISLAND BAY</v>
      </c>
      <c r="D732" s="5">
        <f>IFERROR(__xludf.DUMMYFUNCTION("""COMPUTED_VALUE"""),7528790.0)</f>
        <v>7528790</v>
      </c>
      <c r="E732" s="5" t="str">
        <f>IFERROR(__xludf.DUMMYFUNCTION("""COMPUTED_VALUE"""),"Chornomorsk")</f>
        <v>Chornomorsk</v>
      </c>
      <c r="F732" s="5" t="str">
        <f>IFERROR(__xludf.DUMMYFUNCTION("""COMPUTED_VALUE"""),"Greece")</f>
        <v>Greece</v>
      </c>
      <c r="G732" s="5" t="str">
        <f>IFERROR(__xludf.DUMMYFUNCTION("""COMPUTED_VALUE"""),"Corn")</f>
        <v>Corn</v>
      </c>
      <c r="H732" s="6">
        <f>IFERROR(__xludf.DUMMYFUNCTION("""COMPUTED_VALUE"""),5460.0)</f>
        <v>5460</v>
      </c>
      <c r="I732" s="7">
        <f>IFERROR(__xludf.DUMMYFUNCTION("""COMPUTED_VALUE"""),44856.0)</f>
        <v>44856</v>
      </c>
      <c r="J732" s="7">
        <f>IFERROR(__xludf.DUMMYFUNCTION("""COMPUTED_VALUE"""),44865.0)</f>
        <v>44865</v>
      </c>
      <c r="K732" s="5" t="str">
        <f>IFERROR(__xludf.DUMMYFUNCTION("""COMPUTED_VALUE"""),"high-income")</f>
        <v>high-income</v>
      </c>
      <c r="L732" s="5" t="str">
        <f>IFERROR(__xludf.DUMMYFUNCTION("""COMPUTED_VALUE"""),"Togo")</f>
        <v>Togo</v>
      </c>
      <c r="M732" s="5" t="str">
        <f>IFERROR(__xludf.DUMMYFUNCTION("""COMPUTED_VALUE"""),"Europe &amp; Central Asia")</f>
        <v>Europe &amp; Central Asia</v>
      </c>
      <c r="N732" s="5" t="str">
        <f>IFERROR(__xludf.DUMMYFUNCTION("""COMPUTED_VALUE"""),"Western Europe and Others")</f>
        <v>Western Europe and Others</v>
      </c>
      <c r="O732" s="5" t="str">
        <f>IFERROR(__xludf.DUMMYFUNCTION("""COMPUTED_VALUE"""),"developed")</f>
        <v>developed</v>
      </c>
      <c r="P732" s="5"/>
      <c r="Q732" s="5"/>
    </row>
    <row r="733">
      <c r="A733" s="5" t="str">
        <f>IFERROR(__xludf.DUMMYFUNCTION("""COMPUTED_VALUE"""),"Outbound")</f>
        <v>Outbound</v>
      </c>
      <c r="B733" s="5">
        <f>IFERROR(__xludf.DUMMYFUNCTION("""COMPUTED_VALUE"""),370.0)</f>
        <v>370</v>
      </c>
      <c r="C733" s="5" t="str">
        <f>IFERROR(__xludf.DUMMYFUNCTION("""COMPUTED_VALUE"""),"BELLA JUDI")</f>
        <v>BELLA JUDI</v>
      </c>
      <c r="D733" s="5">
        <f>IFERROR(__xludf.DUMMYFUNCTION("""COMPUTED_VALUE"""),9595371.0)</f>
        <v>9595371</v>
      </c>
      <c r="E733" s="5" t="str">
        <f>IFERROR(__xludf.DUMMYFUNCTION("""COMPUTED_VALUE"""),"Chornomorsk")</f>
        <v>Chornomorsk</v>
      </c>
      <c r="F733" s="5" t="str">
        <f>IFERROR(__xludf.DUMMYFUNCTION("""COMPUTED_VALUE"""),"Libya")</f>
        <v>Libya</v>
      </c>
      <c r="G733" s="5" t="str">
        <f>IFERROR(__xludf.DUMMYFUNCTION("""COMPUTED_VALUE"""),"Corn")</f>
        <v>Corn</v>
      </c>
      <c r="H733" s="6">
        <f>IFERROR(__xludf.DUMMYFUNCTION("""COMPUTED_VALUE"""),33100.0)</f>
        <v>33100</v>
      </c>
      <c r="I733" s="7">
        <f>IFERROR(__xludf.DUMMYFUNCTION("""COMPUTED_VALUE"""),44856.0)</f>
        <v>44856</v>
      </c>
      <c r="J733" s="7">
        <f>IFERROR(__xludf.DUMMYFUNCTION("""COMPUTED_VALUE"""),44865.0)</f>
        <v>44865</v>
      </c>
      <c r="K733" s="5" t="str">
        <f>IFERROR(__xludf.DUMMYFUNCTION("""COMPUTED_VALUE"""),"upper-middle-income")</f>
        <v>upper-middle-income</v>
      </c>
      <c r="L733" s="5" t="str">
        <f>IFERROR(__xludf.DUMMYFUNCTION("""COMPUTED_VALUE"""),"St. Vincent and the Grenadines")</f>
        <v>St. Vincent and the Grenadines</v>
      </c>
      <c r="M733" s="5" t="str">
        <f>IFERROR(__xludf.DUMMYFUNCTION("""COMPUTED_VALUE"""),"Middle East &amp; North Africa")</f>
        <v>Middle East &amp; North Africa</v>
      </c>
      <c r="N733" s="5" t="str">
        <f>IFERROR(__xludf.DUMMYFUNCTION("""COMPUTED_VALUE"""),"Africa")</f>
        <v>Africa</v>
      </c>
      <c r="O733" s="5" t="str">
        <f>IFERROR(__xludf.DUMMYFUNCTION("""COMPUTED_VALUE"""),"developing")</f>
        <v>developing</v>
      </c>
      <c r="P733" s="5"/>
      <c r="Q733" s="5"/>
    </row>
    <row r="734">
      <c r="A734" s="5" t="str">
        <f>IFERROR(__xludf.DUMMYFUNCTION("""COMPUTED_VALUE"""),"Outbound")</f>
        <v>Outbound</v>
      </c>
      <c r="B734" s="5">
        <f>IFERROR(__xludf.DUMMYFUNCTION("""COMPUTED_VALUE"""),369.0)</f>
        <v>369</v>
      </c>
      <c r="C734" s="5" t="str">
        <f>IFERROR(__xludf.DUMMYFUNCTION("""COMPUTED_VALUE"""),"YASA VENUS")</f>
        <v>YASA VENUS</v>
      </c>
      <c r="D734" s="5">
        <f>IFERROR(__xludf.DUMMYFUNCTION("""COMPUTED_VALUE"""),9848118.0)</f>
        <v>9848118</v>
      </c>
      <c r="E734" s="5" t="str">
        <f>IFERROR(__xludf.DUMMYFUNCTION("""COMPUTED_VALUE"""),"Yuzhny/Pivdennyi")</f>
        <v>Yuzhny/Pivdennyi</v>
      </c>
      <c r="F734" s="5" t="str">
        <f>IFERROR(__xludf.DUMMYFUNCTION("""COMPUTED_VALUE"""),"Bangladesh")</f>
        <v>Bangladesh</v>
      </c>
      <c r="G734" s="5" t="str">
        <f>IFERROR(__xludf.DUMMYFUNCTION("""COMPUTED_VALUE"""),"Wheat")</f>
        <v>Wheat</v>
      </c>
      <c r="H734" s="6">
        <f>IFERROR(__xludf.DUMMYFUNCTION("""COMPUTED_VALUE"""),59055.0)</f>
        <v>59055</v>
      </c>
      <c r="I734" s="7">
        <f>IFERROR(__xludf.DUMMYFUNCTION("""COMPUTED_VALUE"""),44855.0)</f>
        <v>44855</v>
      </c>
      <c r="J734" s="7">
        <f>IFERROR(__xludf.DUMMYFUNCTION("""COMPUTED_VALUE"""),44865.0)</f>
        <v>44865</v>
      </c>
      <c r="K734" s="5" t="str">
        <f>IFERROR(__xludf.DUMMYFUNCTION("""COMPUTED_VALUE"""),"lower-middle income")</f>
        <v>lower-middle income</v>
      </c>
      <c r="L734" s="5" t="str">
        <f>IFERROR(__xludf.DUMMYFUNCTION("""COMPUTED_VALUE"""),"Marshall Islands")</f>
        <v>Marshall Islands</v>
      </c>
      <c r="M734" s="5" t="str">
        <f>IFERROR(__xludf.DUMMYFUNCTION("""COMPUTED_VALUE"""),"South Asia")</f>
        <v>South Asia</v>
      </c>
      <c r="N734" s="5" t="str">
        <f>IFERROR(__xludf.DUMMYFUNCTION("""COMPUTED_VALUE"""),"Asia-Pacific")</f>
        <v>Asia-Pacific</v>
      </c>
      <c r="O734" s="5" t="str">
        <f>IFERROR(__xludf.DUMMYFUNCTION("""COMPUTED_VALUE"""),"developing")</f>
        <v>developing</v>
      </c>
      <c r="P734" s="5"/>
      <c r="Q734" s="5"/>
    </row>
    <row r="735">
      <c r="A735" s="5" t="str">
        <f>IFERROR(__xludf.DUMMYFUNCTION("""COMPUTED_VALUE"""),"Outbound")</f>
        <v>Outbound</v>
      </c>
      <c r="B735" s="5">
        <f>IFERROR(__xludf.DUMMYFUNCTION("""COMPUTED_VALUE"""),368.0)</f>
        <v>368</v>
      </c>
      <c r="C735" s="5" t="str">
        <f>IFERROR(__xludf.DUMMYFUNCTION("""COMPUTED_VALUE"""),"SWORD LION")</f>
        <v>SWORD LION</v>
      </c>
      <c r="D735" s="5">
        <f>IFERROR(__xludf.DUMMYFUNCTION("""COMPUTED_VALUE"""),9136785.0)</f>
        <v>9136785</v>
      </c>
      <c r="E735" s="5" t="str">
        <f>IFERROR(__xludf.DUMMYFUNCTION("""COMPUTED_VALUE"""),"Odesa")</f>
        <v>Odesa</v>
      </c>
      <c r="F735" s="5" t="str">
        <f>IFERROR(__xludf.DUMMYFUNCTION("""COMPUTED_VALUE"""),"Italy")</f>
        <v>Italy</v>
      </c>
      <c r="G735" s="5" t="str">
        <f>IFERROR(__xludf.DUMMYFUNCTION("""COMPUTED_VALUE"""),"Corn")</f>
        <v>Corn</v>
      </c>
      <c r="H735" s="6">
        <f>IFERROR(__xludf.DUMMYFUNCTION("""COMPUTED_VALUE"""),26000.0)</f>
        <v>26000</v>
      </c>
      <c r="I735" s="7">
        <f>IFERROR(__xludf.DUMMYFUNCTION("""COMPUTED_VALUE"""),44855.0)</f>
        <v>44855</v>
      </c>
      <c r="J735" s="7">
        <f>IFERROR(__xludf.DUMMYFUNCTION("""COMPUTED_VALUE"""),44865.0)</f>
        <v>44865</v>
      </c>
      <c r="K735" s="5" t="str">
        <f>IFERROR(__xludf.DUMMYFUNCTION("""COMPUTED_VALUE"""),"high-income")</f>
        <v>high-income</v>
      </c>
      <c r="L735" s="5" t="str">
        <f>IFERROR(__xludf.DUMMYFUNCTION("""COMPUTED_VALUE"""),"Türkiye")</f>
        <v>Türkiye</v>
      </c>
      <c r="M735" s="5" t="str">
        <f>IFERROR(__xludf.DUMMYFUNCTION("""COMPUTED_VALUE"""),"Europe &amp; Central Asia")</f>
        <v>Europe &amp; Central Asia</v>
      </c>
      <c r="N735" s="5" t="str">
        <f>IFERROR(__xludf.DUMMYFUNCTION("""COMPUTED_VALUE"""),"Western Europe and Others")</f>
        <v>Western Europe and Others</v>
      </c>
      <c r="O735" s="5" t="str">
        <f>IFERROR(__xludf.DUMMYFUNCTION("""COMPUTED_VALUE"""),"developed")</f>
        <v>developed</v>
      </c>
      <c r="P735" s="5"/>
      <c r="Q735" s="5"/>
    </row>
    <row r="736">
      <c r="A736" s="5" t="str">
        <f>IFERROR(__xludf.DUMMYFUNCTION("""COMPUTED_VALUE"""),"Outbound")</f>
        <v>Outbound</v>
      </c>
      <c r="B736" s="5">
        <f>IFERROR(__xludf.DUMMYFUNCTION("""COMPUTED_VALUE"""),367.0)</f>
        <v>367</v>
      </c>
      <c r="C736" s="5" t="str">
        <f>IFERROR(__xludf.DUMMYFUNCTION("""COMPUTED_VALUE"""),"MRC MINA")</f>
        <v>MRC MINA</v>
      </c>
      <c r="D736" s="5">
        <f>IFERROR(__xludf.DUMMYFUNCTION("""COMPUTED_VALUE"""),9464285.0)</f>
        <v>9464285</v>
      </c>
      <c r="E736" s="5" t="str">
        <f>IFERROR(__xludf.DUMMYFUNCTION("""COMPUTED_VALUE"""),"Yuzhny/Pivdennyi")</f>
        <v>Yuzhny/Pivdennyi</v>
      </c>
      <c r="F736" s="5" t="str">
        <f>IFERROR(__xludf.DUMMYFUNCTION("""COMPUTED_VALUE"""),"Türkiye")</f>
        <v>Türkiye</v>
      </c>
      <c r="G736" s="5" t="str">
        <f>IFERROR(__xludf.DUMMYFUNCTION("""COMPUTED_VALUE"""),"Sunflower oil")</f>
        <v>Sunflower oil</v>
      </c>
      <c r="H736" s="6">
        <f>IFERROR(__xludf.DUMMYFUNCTION("""COMPUTED_VALUE"""),6700.0)</f>
        <v>6700</v>
      </c>
      <c r="I736" s="7">
        <f>IFERROR(__xludf.DUMMYFUNCTION("""COMPUTED_VALUE"""),44855.0)</f>
        <v>44855</v>
      </c>
      <c r="J736" s="7">
        <f>IFERROR(__xludf.DUMMYFUNCTION("""COMPUTED_VALUE"""),44865.0)</f>
        <v>44865</v>
      </c>
      <c r="K736" s="5" t="str">
        <f>IFERROR(__xludf.DUMMYFUNCTION("""COMPUTED_VALUE"""),"upper-middle-income")</f>
        <v>upper-middle-income</v>
      </c>
      <c r="L736" s="5" t="str">
        <f>IFERROR(__xludf.DUMMYFUNCTION("""COMPUTED_VALUE"""),"Malta")</f>
        <v>Malta</v>
      </c>
      <c r="M736" s="5" t="str">
        <f>IFERROR(__xludf.DUMMYFUNCTION("""COMPUTED_VALUE"""),"Europe &amp; Central Asia")</f>
        <v>Europe &amp; Central Asia</v>
      </c>
      <c r="N736" s="5" t="str">
        <f>IFERROR(__xludf.DUMMYFUNCTION("""COMPUTED_VALUE"""),"Asia-Pacific")</f>
        <v>Asia-Pacific</v>
      </c>
      <c r="O736" s="5" t="str">
        <f>IFERROR(__xludf.DUMMYFUNCTION("""COMPUTED_VALUE"""),"developing")</f>
        <v>developing</v>
      </c>
      <c r="P736" s="5"/>
      <c r="Q736" s="5"/>
    </row>
    <row r="737">
      <c r="A737" s="5" t="str">
        <f>IFERROR(__xludf.DUMMYFUNCTION("""COMPUTED_VALUE"""),"Outbound")</f>
        <v>Outbound</v>
      </c>
      <c r="B737" s="5">
        <f>IFERROR(__xludf.DUMMYFUNCTION("""COMPUTED_VALUE"""),366.0)</f>
        <v>366</v>
      </c>
      <c r="C737" s="5" t="str">
        <f>IFERROR(__xludf.DUMMYFUNCTION("""COMPUTED_VALUE"""),"MILLAC")</f>
        <v>MILLAC</v>
      </c>
      <c r="D737" s="5">
        <f>IFERROR(__xludf.DUMMYFUNCTION("""COMPUTED_VALUE"""),7208716.0)</f>
        <v>7208716</v>
      </c>
      <c r="E737" s="5" t="str">
        <f>IFERROR(__xludf.DUMMYFUNCTION("""COMPUTED_VALUE"""),"Chornomorsk")</f>
        <v>Chornomorsk</v>
      </c>
      <c r="F737" s="5" t="str">
        <f>IFERROR(__xludf.DUMMYFUNCTION("""COMPUTED_VALUE"""),"Türkiye")</f>
        <v>Türkiye</v>
      </c>
      <c r="G737" s="5" t="str">
        <f>IFERROR(__xludf.DUMMYFUNCTION("""COMPUTED_VALUE"""),"Wheat")</f>
        <v>Wheat</v>
      </c>
      <c r="H737" s="6">
        <f>IFERROR(__xludf.DUMMYFUNCTION("""COMPUTED_VALUE"""),6000.0)</f>
        <v>6000</v>
      </c>
      <c r="I737" s="7">
        <f>IFERROR(__xludf.DUMMYFUNCTION("""COMPUTED_VALUE"""),44855.0)</f>
        <v>44855</v>
      </c>
      <c r="J737" s="7">
        <f>IFERROR(__xludf.DUMMYFUNCTION("""COMPUTED_VALUE"""),44866.0)</f>
        <v>44866</v>
      </c>
      <c r="K737" s="5" t="str">
        <f>IFERROR(__xludf.DUMMYFUNCTION("""COMPUTED_VALUE"""),"upper-middle-income")</f>
        <v>upper-middle-income</v>
      </c>
      <c r="L737" s="5" t="str">
        <f>IFERROR(__xludf.DUMMYFUNCTION("""COMPUTED_VALUE"""),"Comoros")</f>
        <v>Comoros</v>
      </c>
      <c r="M737" s="5" t="str">
        <f>IFERROR(__xludf.DUMMYFUNCTION("""COMPUTED_VALUE"""),"Europe &amp; Central Asia")</f>
        <v>Europe &amp; Central Asia</v>
      </c>
      <c r="N737" s="5" t="str">
        <f>IFERROR(__xludf.DUMMYFUNCTION("""COMPUTED_VALUE"""),"Asia-Pacific")</f>
        <v>Asia-Pacific</v>
      </c>
      <c r="O737" s="5" t="str">
        <f>IFERROR(__xludf.DUMMYFUNCTION("""COMPUTED_VALUE"""),"developing")</f>
        <v>developing</v>
      </c>
      <c r="P737" s="5"/>
      <c r="Q737" s="5"/>
    </row>
    <row r="738">
      <c r="A738" s="5" t="str">
        <f>IFERROR(__xludf.DUMMYFUNCTION("""COMPUTED_VALUE"""),"Outbound")</f>
        <v>Outbound</v>
      </c>
      <c r="B738" s="5">
        <f>IFERROR(__xludf.DUMMYFUNCTION("""COMPUTED_VALUE"""),365.0)</f>
        <v>365</v>
      </c>
      <c r="C738" s="5" t="str">
        <f>IFERROR(__xludf.DUMMYFUNCTION("""COMPUTED_VALUE"""),"DEMA")</f>
        <v>DEMA</v>
      </c>
      <c r="D738" s="5">
        <f>IFERROR(__xludf.DUMMYFUNCTION("""COMPUTED_VALUE"""),9416446.0)</f>
        <v>9416446</v>
      </c>
      <c r="E738" s="5" t="str">
        <f>IFERROR(__xludf.DUMMYFUNCTION("""COMPUTED_VALUE"""),"Chornomorsk")</f>
        <v>Chornomorsk</v>
      </c>
      <c r="F738" s="5" t="str">
        <f>IFERROR(__xludf.DUMMYFUNCTION("""COMPUTED_VALUE"""),"Italy")</f>
        <v>Italy</v>
      </c>
      <c r="G738" s="5" t="str">
        <f>IFERROR(__xludf.DUMMYFUNCTION("""COMPUTED_VALUE"""),"Corn")</f>
        <v>Corn</v>
      </c>
      <c r="H738" s="6">
        <f>IFERROR(__xludf.DUMMYFUNCTION("""COMPUTED_VALUE"""),32800.0)</f>
        <v>32800</v>
      </c>
      <c r="I738" s="7">
        <f>IFERROR(__xludf.DUMMYFUNCTION("""COMPUTED_VALUE"""),44855.0)</f>
        <v>44855</v>
      </c>
      <c r="J738" s="7">
        <f>IFERROR(__xludf.DUMMYFUNCTION("""COMPUTED_VALUE"""),44865.0)</f>
        <v>44865</v>
      </c>
      <c r="K738" s="5" t="str">
        <f>IFERROR(__xludf.DUMMYFUNCTION("""COMPUTED_VALUE"""),"high-income")</f>
        <v>high-income</v>
      </c>
      <c r="L738" s="5" t="str">
        <f>IFERROR(__xludf.DUMMYFUNCTION("""COMPUTED_VALUE"""),"St. Vincent and the Grenadines")</f>
        <v>St. Vincent and the Grenadines</v>
      </c>
      <c r="M738" s="5" t="str">
        <f>IFERROR(__xludf.DUMMYFUNCTION("""COMPUTED_VALUE"""),"Europe &amp; Central Asia")</f>
        <v>Europe &amp; Central Asia</v>
      </c>
      <c r="N738" s="5" t="str">
        <f>IFERROR(__xludf.DUMMYFUNCTION("""COMPUTED_VALUE"""),"Western Europe and Others")</f>
        <v>Western Europe and Others</v>
      </c>
      <c r="O738" s="5" t="str">
        <f>IFERROR(__xludf.DUMMYFUNCTION("""COMPUTED_VALUE"""),"developed")</f>
        <v>developed</v>
      </c>
      <c r="P738" s="5"/>
      <c r="Q738" s="5"/>
    </row>
    <row r="739">
      <c r="A739" s="5" t="str">
        <f>IFERROR(__xludf.DUMMYFUNCTION("""COMPUTED_VALUE"""),"Outbound")</f>
        <v>Outbound</v>
      </c>
      <c r="B739" s="5">
        <f>IFERROR(__xludf.DUMMYFUNCTION("""COMPUTED_VALUE"""),364.0)</f>
        <v>364</v>
      </c>
      <c r="C739" s="5" t="str">
        <f>IFERROR(__xludf.DUMMYFUNCTION("""COMPUTED_VALUE"""),"ALPHA")</f>
        <v>ALPHA</v>
      </c>
      <c r="D739" s="5">
        <f>IFERROR(__xludf.DUMMYFUNCTION("""COMPUTED_VALUE"""),9489041.0)</f>
        <v>9489041</v>
      </c>
      <c r="E739" s="5" t="str">
        <f>IFERROR(__xludf.DUMMYFUNCTION("""COMPUTED_VALUE"""),"Chornomorsk")</f>
        <v>Chornomorsk</v>
      </c>
      <c r="F739" s="5" t="str">
        <f>IFERROR(__xludf.DUMMYFUNCTION("""COMPUTED_VALUE"""),"China")</f>
        <v>China</v>
      </c>
      <c r="G739" s="5" t="str">
        <f>IFERROR(__xludf.DUMMYFUNCTION("""COMPUTED_VALUE"""),"Corn")</f>
        <v>Corn</v>
      </c>
      <c r="H739" s="6">
        <f>IFERROR(__xludf.DUMMYFUNCTION("""COMPUTED_VALUE"""),66000.0)</f>
        <v>66000</v>
      </c>
      <c r="I739" s="7">
        <f>IFERROR(__xludf.DUMMYFUNCTION("""COMPUTED_VALUE"""),44855.0)</f>
        <v>44855</v>
      </c>
      <c r="J739" s="7">
        <f>IFERROR(__xludf.DUMMYFUNCTION("""COMPUTED_VALUE"""),44866.0)</f>
        <v>44866</v>
      </c>
      <c r="K739" s="5" t="str">
        <f>IFERROR(__xludf.DUMMYFUNCTION("""COMPUTED_VALUE"""),"upper-middle-income")</f>
        <v>upper-middle-income</v>
      </c>
      <c r="L739" s="5" t="str">
        <f>IFERROR(__xludf.DUMMYFUNCTION("""COMPUTED_VALUE"""),"Marshall Islands")</f>
        <v>Marshall Islands</v>
      </c>
      <c r="M739" s="5" t="str">
        <f>IFERROR(__xludf.DUMMYFUNCTION("""COMPUTED_VALUE"""),"East Asia &amp; Pacific")</f>
        <v>East Asia &amp; Pacific</v>
      </c>
      <c r="N739" s="5" t="str">
        <f>IFERROR(__xludf.DUMMYFUNCTION("""COMPUTED_VALUE"""),"Asia-Pacific")</f>
        <v>Asia-Pacific</v>
      </c>
      <c r="O739" s="5" t="str">
        <f>IFERROR(__xludf.DUMMYFUNCTION("""COMPUTED_VALUE"""),"developing")</f>
        <v>developing</v>
      </c>
      <c r="P739" s="5"/>
      <c r="Q739" s="5"/>
    </row>
    <row r="740">
      <c r="A740" s="5" t="str">
        <f>IFERROR(__xludf.DUMMYFUNCTION("""COMPUTED_VALUE"""),"Outbound")</f>
        <v>Outbound</v>
      </c>
      <c r="B740" s="5">
        <f>IFERROR(__xludf.DUMMYFUNCTION("""COMPUTED_VALUE"""),363.0)</f>
        <v>363</v>
      </c>
      <c r="C740" s="5" t="str">
        <f>IFERROR(__xludf.DUMMYFUNCTION("""COMPUTED_VALUE"""),"XIN SHUN")</f>
        <v>XIN SHUN</v>
      </c>
      <c r="D740" s="5">
        <f>IFERROR(__xludf.DUMMYFUNCTION("""COMPUTED_VALUE"""),9252199.0)</f>
        <v>9252199</v>
      </c>
      <c r="E740" s="5" t="str">
        <f>IFERROR(__xludf.DUMMYFUNCTION("""COMPUTED_VALUE"""),"Odesa")</f>
        <v>Odesa</v>
      </c>
      <c r="F740" s="5" t="str">
        <f>IFERROR(__xludf.DUMMYFUNCTION("""COMPUTED_VALUE"""),"The Netherlands")</f>
        <v>The Netherlands</v>
      </c>
      <c r="G740" s="5" t="str">
        <f>IFERROR(__xludf.DUMMYFUNCTION("""COMPUTED_VALUE"""),"Rapeseed")</f>
        <v>Rapeseed</v>
      </c>
      <c r="H740" s="6">
        <f>IFERROR(__xludf.DUMMYFUNCTION("""COMPUTED_VALUE"""),60000.0)</f>
        <v>60000</v>
      </c>
      <c r="I740" s="7">
        <f>IFERROR(__xludf.DUMMYFUNCTION("""COMPUTED_VALUE"""),44854.0)</f>
        <v>44854</v>
      </c>
      <c r="J740" s="7">
        <f>IFERROR(__xludf.DUMMYFUNCTION("""COMPUTED_VALUE"""),44865.0)</f>
        <v>44865</v>
      </c>
      <c r="K740" s="5" t="str">
        <f>IFERROR(__xludf.DUMMYFUNCTION("""COMPUTED_VALUE"""),"high-income")</f>
        <v>high-income</v>
      </c>
      <c r="L740" s="5" t="str">
        <f>IFERROR(__xludf.DUMMYFUNCTION("""COMPUTED_VALUE"""),"Panama")</f>
        <v>Panama</v>
      </c>
      <c r="M740" s="5" t="str">
        <f>IFERROR(__xludf.DUMMYFUNCTION("""COMPUTED_VALUE"""),"Europe &amp; Central Asia")</f>
        <v>Europe &amp; Central Asia</v>
      </c>
      <c r="N740" s="5" t="str">
        <f>IFERROR(__xludf.DUMMYFUNCTION("""COMPUTED_VALUE"""),"Western Europe and Others")</f>
        <v>Western Europe and Others</v>
      </c>
      <c r="O740" s="5" t="str">
        <f>IFERROR(__xludf.DUMMYFUNCTION("""COMPUTED_VALUE"""),"developed")</f>
        <v>developed</v>
      </c>
      <c r="P740" s="5"/>
      <c r="Q740" s="5"/>
    </row>
    <row r="741">
      <c r="A741" s="5" t="str">
        <f>IFERROR(__xludf.DUMMYFUNCTION("""COMPUTED_VALUE"""),"Outbound")</f>
        <v>Outbound</v>
      </c>
      <c r="B741" s="5">
        <f>IFERROR(__xludf.DUMMYFUNCTION("""COMPUTED_VALUE"""),362.0)</f>
        <v>362</v>
      </c>
      <c r="C741" s="5" t="str">
        <f>IFERROR(__xludf.DUMMYFUNCTION("""COMPUTED_VALUE"""),"ARIS T")</f>
        <v>ARIS T</v>
      </c>
      <c r="D741" s="5">
        <f>IFERROR(__xludf.DUMMYFUNCTION("""COMPUTED_VALUE"""),9343895.0)</f>
        <v>9343895</v>
      </c>
      <c r="E741" s="5" t="str">
        <f>IFERROR(__xludf.DUMMYFUNCTION("""COMPUTED_VALUE"""),"Yuzhny/Pivdennyi")</f>
        <v>Yuzhny/Pivdennyi</v>
      </c>
      <c r="F741" s="5" t="str">
        <f>IFERROR(__xludf.DUMMYFUNCTION("""COMPUTED_VALUE"""),"Spain")</f>
        <v>Spain</v>
      </c>
      <c r="G741" s="5" t="str">
        <f>IFERROR(__xludf.DUMMYFUNCTION("""COMPUTED_VALUE"""),"Corn")</f>
        <v>Corn</v>
      </c>
      <c r="H741" s="6">
        <f>IFERROR(__xludf.DUMMYFUNCTION("""COMPUTED_VALUE"""),52733.0)</f>
        <v>52733</v>
      </c>
      <c r="I741" s="7">
        <f>IFERROR(__xludf.DUMMYFUNCTION("""COMPUTED_VALUE"""),44854.0)</f>
        <v>44854</v>
      </c>
      <c r="J741" s="7">
        <f>IFERROR(__xludf.DUMMYFUNCTION("""COMPUTED_VALUE"""),44865.0)</f>
        <v>44865</v>
      </c>
      <c r="K741" s="5" t="str">
        <f>IFERROR(__xludf.DUMMYFUNCTION("""COMPUTED_VALUE"""),"high-income")</f>
        <v>high-income</v>
      </c>
      <c r="L741" s="5" t="str">
        <f>IFERROR(__xludf.DUMMYFUNCTION("""COMPUTED_VALUE"""),"Greece")</f>
        <v>Greece</v>
      </c>
      <c r="M741" s="5" t="str">
        <f>IFERROR(__xludf.DUMMYFUNCTION("""COMPUTED_VALUE"""),"Europe &amp; Central Asia")</f>
        <v>Europe &amp; Central Asia</v>
      </c>
      <c r="N741" s="5" t="str">
        <f>IFERROR(__xludf.DUMMYFUNCTION("""COMPUTED_VALUE"""),"Western Europe and Others")</f>
        <v>Western Europe and Others</v>
      </c>
      <c r="O741" s="5" t="str">
        <f>IFERROR(__xludf.DUMMYFUNCTION("""COMPUTED_VALUE"""),"developed")</f>
        <v>developed</v>
      </c>
      <c r="P741" s="5"/>
      <c r="Q741" s="5"/>
    </row>
    <row r="742">
      <c r="A742" s="5" t="str">
        <f>IFERROR(__xludf.DUMMYFUNCTION("""COMPUTED_VALUE"""),"Outbound +")</f>
        <v>Outbound +</v>
      </c>
      <c r="B742" s="5">
        <f>IFERROR(__xludf.DUMMYFUNCTION("""COMPUTED_VALUE"""),362.0)</f>
        <v>362</v>
      </c>
      <c r="C742" s="5" t="str">
        <f>IFERROR(__xludf.DUMMYFUNCTION("""COMPUTED_VALUE"""),"ARIS T")</f>
        <v>ARIS T</v>
      </c>
      <c r="D742" s="5">
        <f>IFERROR(__xludf.DUMMYFUNCTION("""COMPUTED_VALUE"""),9343895.0)</f>
        <v>9343895</v>
      </c>
      <c r="E742" s="5" t="str">
        <f>IFERROR(__xludf.DUMMYFUNCTION("""COMPUTED_VALUE"""),"Yuzhny/Pivdennyi")</f>
        <v>Yuzhny/Pivdennyi</v>
      </c>
      <c r="F742" s="5" t="str">
        <f>IFERROR(__xludf.DUMMYFUNCTION("""COMPUTED_VALUE"""),"Spain")</f>
        <v>Spain</v>
      </c>
      <c r="G742" s="5" t="str">
        <f>IFERROR(__xludf.DUMMYFUNCTION("""COMPUTED_VALUE"""),"Sunflower meal")</f>
        <v>Sunflower meal</v>
      </c>
      <c r="H742" s="6">
        <f>IFERROR(__xludf.DUMMYFUNCTION("""COMPUTED_VALUE"""),23267.0)</f>
        <v>23267</v>
      </c>
      <c r="I742" s="7">
        <f>IFERROR(__xludf.DUMMYFUNCTION("""COMPUTED_VALUE"""),44854.0)</f>
        <v>44854</v>
      </c>
      <c r="J742" s="7">
        <f>IFERROR(__xludf.DUMMYFUNCTION("""COMPUTED_VALUE"""),44865.0)</f>
        <v>44865</v>
      </c>
      <c r="K742" s="5" t="str">
        <f>IFERROR(__xludf.DUMMYFUNCTION("""COMPUTED_VALUE"""),"high-income")</f>
        <v>high-income</v>
      </c>
      <c r="L742" s="5" t="str">
        <f>IFERROR(__xludf.DUMMYFUNCTION("""COMPUTED_VALUE"""),"Greece")</f>
        <v>Greece</v>
      </c>
      <c r="M742" s="5" t="str">
        <f>IFERROR(__xludf.DUMMYFUNCTION("""COMPUTED_VALUE"""),"Europe &amp; Central Asia")</f>
        <v>Europe &amp; Central Asia</v>
      </c>
      <c r="N742" s="5" t="str">
        <f>IFERROR(__xludf.DUMMYFUNCTION("""COMPUTED_VALUE"""),"Western Europe and Others")</f>
        <v>Western Europe and Others</v>
      </c>
      <c r="O742" s="5" t="str">
        <f>IFERROR(__xludf.DUMMYFUNCTION("""COMPUTED_VALUE"""),"developed")</f>
        <v>developed</v>
      </c>
      <c r="P742" s="5"/>
      <c r="Q742" s="5"/>
    </row>
    <row r="743">
      <c r="A743" s="5" t="str">
        <f>IFERROR(__xludf.DUMMYFUNCTION("""COMPUTED_VALUE"""),"Outbound")</f>
        <v>Outbound</v>
      </c>
      <c r="B743" s="5">
        <f>IFERROR(__xludf.DUMMYFUNCTION("""COMPUTED_VALUE"""),361.0)</f>
        <v>361</v>
      </c>
      <c r="C743" s="5" t="str">
        <f>IFERROR(__xludf.DUMMYFUNCTION("""COMPUTED_VALUE"""),"ATLANTIS ALMERIA")</f>
        <v>ATLANTIS ALMERIA</v>
      </c>
      <c r="D743" s="5">
        <f>IFERROR(__xludf.DUMMYFUNCTION("""COMPUTED_VALUE"""),9508093.0)</f>
        <v>9508093</v>
      </c>
      <c r="E743" s="5" t="str">
        <f>IFERROR(__xludf.DUMMYFUNCTION("""COMPUTED_VALUE"""),"Yuzhny/Pivdennyi")</f>
        <v>Yuzhny/Pivdennyi</v>
      </c>
      <c r="F743" s="5" t="str">
        <f>IFERROR(__xludf.DUMMYFUNCTION("""COMPUTED_VALUE"""),"Türkiye")</f>
        <v>Türkiye</v>
      </c>
      <c r="G743" s="5" t="str">
        <f>IFERROR(__xludf.DUMMYFUNCTION("""COMPUTED_VALUE"""),"Sunflower oil")</f>
        <v>Sunflower oil</v>
      </c>
      <c r="H743" s="6">
        <f>IFERROR(__xludf.DUMMYFUNCTION("""COMPUTED_VALUE"""),5500.0)</f>
        <v>5500</v>
      </c>
      <c r="I743" s="7">
        <f>IFERROR(__xludf.DUMMYFUNCTION("""COMPUTED_VALUE"""),44854.0)</f>
        <v>44854</v>
      </c>
      <c r="J743" s="7">
        <f>IFERROR(__xludf.DUMMYFUNCTION("""COMPUTED_VALUE"""),44866.0)</f>
        <v>44866</v>
      </c>
      <c r="K743" s="5" t="str">
        <f>IFERROR(__xludf.DUMMYFUNCTION("""COMPUTED_VALUE"""),"upper-middle-income")</f>
        <v>upper-middle-income</v>
      </c>
      <c r="L743" s="5" t="str">
        <f>IFERROR(__xludf.DUMMYFUNCTION("""COMPUTED_VALUE"""),"Malta")</f>
        <v>Malta</v>
      </c>
      <c r="M743" s="5" t="str">
        <f>IFERROR(__xludf.DUMMYFUNCTION("""COMPUTED_VALUE"""),"Europe &amp; Central Asia")</f>
        <v>Europe &amp; Central Asia</v>
      </c>
      <c r="N743" s="5" t="str">
        <f>IFERROR(__xludf.DUMMYFUNCTION("""COMPUTED_VALUE"""),"Asia-Pacific")</f>
        <v>Asia-Pacific</v>
      </c>
      <c r="O743" s="5" t="str">
        <f>IFERROR(__xludf.DUMMYFUNCTION("""COMPUTED_VALUE"""),"developing")</f>
        <v>developing</v>
      </c>
      <c r="P743" s="5"/>
      <c r="Q743" s="5"/>
    </row>
    <row r="744">
      <c r="A744" s="5" t="str">
        <f>IFERROR(__xludf.DUMMYFUNCTION("""COMPUTED_VALUE"""),"Outbound")</f>
        <v>Outbound</v>
      </c>
      <c r="B744" s="5">
        <f>IFERROR(__xludf.DUMMYFUNCTION("""COMPUTED_VALUE"""),360.0)</f>
        <v>360</v>
      </c>
      <c r="C744" s="5" t="str">
        <f>IFERROR(__xludf.DUMMYFUNCTION("""COMPUTED_VALUE"""),"KUBROSLI Y")</f>
        <v>KUBROSLI Y</v>
      </c>
      <c r="D744" s="5">
        <f>IFERROR(__xludf.DUMMYFUNCTION("""COMPUTED_VALUE"""),8000836.0)</f>
        <v>8000836</v>
      </c>
      <c r="E744" s="5" t="str">
        <f>IFERROR(__xludf.DUMMYFUNCTION("""COMPUTED_VALUE"""),"Yuzhny/Pivdennyi")</f>
        <v>Yuzhny/Pivdennyi</v>
      </c>
      <c r="F744" s="5" t="str">
        <f>IFERROR(__xludf.DUMMYFUNCTION("""COMPUTED_VALUE"""),"Türkiye")</f>
        <v>Türkiye</v>
      </c>
      <c r="G744" s="5" t="str">
        <f>IFERROR(__xludf.DUMMYFUNCTION("""COMPUTED_VALUE"""),"Peas")</f>
        <v>Peas</v>
      </c>
      <c r="H744" s="6">
        <f>IFERROR(__xludf.DUMMYFUNCTION("""COMPUTED_VALUE"""),11000.0)</f>
        <v>11000</v>
      </c>
      <c r="I744" s="7">
        <f>IFERROR(__xludf.DUMMYFUNCTION("""COMPUTED_VALUE"""),44853.0)</f>
        <v>44853</v>
      </c>
      <c r="J744" s="7">
        <f>IFERROR(__xludf.DUMMYFUNCTION("""COMPUTED_VALUE"""),44865.0)</f>
        <v>44865</v>
      </c>
      <c r="K744" s="5" t="str">
        <f>IFERROR(__xludf.DUMMYFUNCTION("""COMPUTED_VALUE"""),"upper-middle-income")</f>
        <v>upper-middle-income</v>
      </c>
      <c r="L744" s="5" t="str">
        <f>IFERROR(__xludf.DUMMYFUNCTION("""COMPUTED_VALUE"""),"Comoros")</f>
        <v>Comoros</v>
      </c>
      <c r="M744" s="5" t="str">
        <f>IFERROR(__xludf.DUMMYFUNCTION("""COMPUTED_VALUE"""),"Europe &amp; Central Asia")</f>
        <v>Europe &amp; Central Asia</v>
      </c>
      <c r="N744" s="5" t="str">
        <f>IFERROR(__xludf.DUMMYFUNCTION("""COMPUTED_VALUE"""),"Asia-Pacific")</f>
        <v>Asia-Pacific</v>
      </c>
      <c r="O744" s="5" t="str">
        <f>IFERROR(__xludf.DUMMYFUNCTION("""COMPUTED_VALUE"""),"developing")</f>
        <v>developing</v>
      </c>
      <c r="P744" s="5"/>
      <c r="Q744" s="5"/>
    </row>
    <row r="745">
      <c r="A745" s="5" t="str">
        <f>IFERROR(__xludf.DUMMYFUNCTION("""COMPUTED_VALUE"""),"Outbound")</f>
        <v>Outbound</v>
      </c>
      <c r="B745" s="5">
        <f>IFERROR(__xludf.DUMMYFUNCTION("""COMPUTED_VALUE"""),359.0)</f>
        <v>359</v>
      </c>
      <c r="C745" s="5" t="str">
        <f>IFERROR(__xludf.DUMMYFUNCTION("""COMPUTED_VALUE"""),"KEMAL KURU")</f>
        <v>KEMAL KURU</v>
      </c>
      <c r="D745" s="5">
        <f>IFERROR(__xludf.DUMMYFUNCTION("""COMPUTED_VALUE"""),9418080.0)</f>
        <v>9418080</v>
      </c>
      <c r="E745" s="5" t="str">
        <f>IFERROR(__xludf.DUMMYFUNCTION("""COMPUTED_VALUE"""),"Odesa")</f>
        <v>Odesa</v>
      </c>
      <c r="F745" s="5" t="str">
        <f>IFERROR(__xludf.DUMMYFUNCTION("""COMPUTED_VALUE"""),"Türkiye")</f>
        <v>Türkiye</v>
      </c>
      <c r="G745" s="5" t="str">
        <f>IFERROR(__xludf.DUMMYFUNCTION("""COMPUTED_VALUE"""),"Sunflower seed")</f>
        <v>Sunflower seed</v>
      </c>
      <c r="H745" s="6">
        <f>IFERROR(__xludf.DUMMYFUNCTION("""COMPUTED_VALUE"""),3000.0)</f>
        <v>3000</v>
      </c>
      <c r="I745" s="7">
        <f>IFERROR(__xludf.DUMMYFUNCTION("""COMPUTED_VALUE"""),44853.0)</f>
        <v>44853</v>
      </c>
      <c r="J745" s="7">
        <f>IFERROR(__xludf.DUMMYFUNCTION("""COMPUTED_VALUE"""),44866.0)</f>
        <v>44866</v>
      </c>
      <c r="K745" s="5" t="str">
        <f>IFERROR(__xludf.DUMMYFUNCTION("""COMPUTED_VALUE"""),"upper-middle-income")</f>
        <v>upper-middle-income</v>
      </c>
      <c r="L745" s="5" t="str">
        <f>IFERROR(__xludf.DUMMYFUNCTION("""COMPUTED_VALUE"""),"Panama")</f>
        <v>Panama</v>
      </c>
      <c r="M745" s="5" t="str">
        <f>IFERROR(__xludf.DUMMYFUNCTION("""COMPUTED_VALUE"""),"Europe &amp; Central Asia")</f>
        <v>Europe &amp; Central Asia</v>
      </c>
      <c r="N745" s="5" t="str">
        <f>IFERROR(__xludf.DUMMYFUNCTION("""COMPUTED_VALUE"""),"Asia-Pacific")</f>
        <v>Asia-Pacific</v>
      </c>
      <c r="O745" s="5" t="str">
        <f>IFERROR(__xludf.DUMMYFUNCTION("""COMPUTED_VALUE"""),"developing")</f>
        <v>developing</v>
      </c>
      <c r="P745" s="5"/>
      <c r="Q745" s="5"/>
    </row>
    <row r="746">
      <c r="A746" s="5" t="str">
        <f>IFERROR(__xludf.DUMMYFUNCTION("""COMPUTED_VALUE"""),"Outbound")</f>
        <v>Outbound</v>
      </c>
      <c r="B746" s="5">
        <f>IFERROR(__xludf.DUMMYFUNCTION("""COMPUTED_VALUE"""),358.0)</f>
        <v>358</v>
      </c>
      <c r="C746" s="5" t="str">
        <f>IFERROR(__xludf.DUMMYFUNCTION("""COMPUTED_VALUE"""),"DENSA DEFNE")</f>
        <v>DENSA DEFNE</v>
      </c>
      <c r="D746" s="5">
        <f>IFERROR(__xludf.DUMMYFUNCTION("""COMPUTED_VALUE"""),9297204.0)</f>
        <v>9297204</v>
      </c>
      <c r="E746" s="5" t="str">
        <f>IFERROR(__xludf.DUMMYFUNCTION("""COMPUTED_VALUE"""),"Yuzhny/Pivdennyi")</f>
        <v>Yuzhny/Pivdennyi</v>
      </c>
      <c r="F746" s="5" t="str">
        <f>IFERROR(__xludf.DUMMYFUNCTION("""COMPUTED_VALUE"""),"United Kingdom")</f>
        <v>United Kingdom</v>
      </c>
      <c r="G746" s="5" t="str">
        <f>IFERROR(__xludf.DUMMYFUNCTION("""COMPUTED_VALUE"""),"Sunflower oil")</f>
        <v>Sunflower oil</v>
      </c>
      <c r="H746" s="6">
        <f>IFERROR(__xludf.DUMMYFUNCTION("""COMPUTED_VALUE"""),6600.0)</f>
        <v>6600</v>
      </c>
      <c r="I746" s="7">
        <f>IFERROR(__xludf.DUMMYFUNCTION("""COMPUTED_VALUE"""),44853.0)</f>
        <v>44853</v>
      </c>
      <c r="J746" s="7">
        <f>IFERROR(__xludf.DUMMYFUNCTION("""COMPUTED_VALUE"""),44865.0)</f>
        <v>44865</v>
      </c>
      <c r="K746" s="5" t="str">
        <f>IFERROR(__xludf.DUMMYFUNCTION("""COMPUTED_VALUE"""),"high-income")</f>
        <v>high-income</v>
      </c>
      <c r="L746" s="5" t="str">
        <f>IFERROR(__xludf.DUMMYFUNCTION("""COMPUTED_VALUE"""),"Malta")</f>
        <v>Malta</v>
      </c>
      <c r="M746" s="5" t="str">
        <f>IFERROR(__xludf.DUMMYFUNCTION("""COMPUTED_VALUE"""),"Europe &amp; Central Asia")</f>
        <v>Europe &amp; Central Asia</v>
      </c>
      <c r="N746" s="5" t="str">
        <f>IFERROR(__xludf.DUMMYFUNCTION("""COMPUTED_VALUE"""),"Western Europe and Others")</f>
        <v>Western Europe and Others</v>
      </c>
      <c r="O746" s="5" t="str">
        <f>IFERROR(__xludf.DUMMYFUNCTION("""COMPUTED_VALUE"""),"developed")</f>
        <v>developed</v>
      </c>
      <c r="P746" s="5"/>
      <c r="Q746" s="5"/>
    </row>
    <row r="747">
      <c r="A747" s="5" t="str">
        <f>IFERROR(__xludf.DUMMYFUNCTION("""COMPUTED_VALUE"""),"Outbound")</f>
        <v>Outbound</v>
      </c>
      <c r="B747" s="5">
        <f>IFERROR(__xludf.DUMMYFUNCTION("""COMPUTED_VALUE"""),357.0)</f>
        <v>357</v>
      </c>
      <c r="C747" s="5" t="str">
        <f>IFERROR(__xludf.DUMMYFUNCTION("""COMPUTED_VALUE"""),"DAYTONA H")</f>
        <v>DAYTONA H</v>
      </c>
      <c r="D747" s="5">
        <f>IFERROR(__xludf.DUMMYFUNCTION("""COMPUTED_VALUE"""),8520836.0)</f>
        <v>8520836</v>
      </c>
      <c r="E747" s="5" t="str">
        <f>IFERROR(__xludf.DUMMYFUNCTION("""COMPUTED_VALUE"""),"Yuzhny/Pivdennyi")</f>
        <v>Yuzhny/Pivdennyi</v>
      </c>
      <c r="F747" s="5" t="str">
        <f>IFERROR(__xludf.DUMMYFUNCTION("""COMPUTED_VALUE"""),"Lebanon")</f>
        <v>Lebanon</v>
      </c>
      <c r="G747" s="5" t="str">
        <f>IFERROR(__xludf.DUMMYFUNCTION("""COMPUTED_VALUE"""),"Corn")</f>
        <v>Corn</v>
      </c>
      <c r="H747" s="6">
        <f>IFERROR(__xludf.DUMMYFUNCTION("""COMPUTED_VALUE"""),10700.0)</f>
        <v>10700</v>
      </c>
      <c r="I747" s="7">
        <f>IFERROR(__xludf.DUMMYFUNCTION("""COMPUTED_VALUE"""),44853.0)</f>
        <v>44853</v>
      </c>
      <c r="J747" s="7">
        <f>IFERROR(__xludf.DUMMYFUNCTION("""COMPUTED_VALUE"""),44865.0)</f>
        <v>44865</v>
      </c>
      <c r="K747" s="5" t="str">
        <f>IFERROR(__xludf.DUMMYFUNCTION("""COMPUTED_VALUE"""),"lower-middle income")</f>
        <v>lower-middle income</v>
      </c>
      <c r="L747" s="5" t="str">
        <f>IFERROR(__xludf.DUMMYFUNCTION("""COMPUTED_VALUE"""),"Comoros")</f>
        <v>Comoros</v>
      </c>
      <c r="M747" s="5" t="str">
        <f>IFERROR(__xludf.DUMMYFUNCTION("""COMPUTED_VALUE"""),"Middle East &amp; North Africa")</f>
        <v>Middle East &amp; North Africa</v>
      </c>
      <c r="N747" s="5" t="str">
        <f>IFERROR(__xludf.DUMMYFUNCTION("""COMPUTED_VALUE"""),"Asia-Pacific")</f>
        <v>Asia-Pacific</v>
      </c>
      <c r="O747" s="5" t="str">
        <f>IFERROR(__xludf.DUMMYFUNCTION("""COMPUTED_VALUE"""),"developing")</f>
        <v>developing</v>
      </c>
      <c r="P747" s="5"/>
      <c r="Q747" s="5"/>
    </row>
    <row r="748">
      <c r="A748" s="5" t="str">
        <f>IFERROR(__xludf.DUMMYFUNCTION("""COMPUTED_VALUE"""),"Outbound")</f>
        <v>Outbound</v>
      </c>
      <c r="B748" s="5">
        <f>IFERROR(__xludf.DUMMYFUNCTION("""COMPUTED_VALUE"""),356.0)</f>
        <v>356</v>
      </c>
      <c r="C748" s="5" t="str">
        <f>IFERROR(__xludf.DUMMYFUNCTION("""COMPUTED_VALUE"""),"CS CALVINA")</f>
        <v>CS CALVINA</v>
      </c>
      <c r="D748" s="5">
        <f>IFERROR(__xludf.DUMMYFUNCTION("""COMPUTED_VALUE"""),9542532.0)</f>
        <v>9542532</v>
      </c>
      <c r="E748" s="5" t="str">
        <f>IFERROR(__xludf.DUMMYFUNCTION("""COMPUTED_VALUE"""),"Chornomorsk")</f>
        <v>Chornomorsk</v>
      </c>
      <c r="F748" s="5" t="str">
        <f>IFERROR(__xludf.DUMMYFUNCTION("""COMPUTED_VALUE"""),"The Netherlands")</f>
        <v>The Netherlands</v>
      </c>
      <c r="G748" s="5" t="str">
        <f>IFERROR(__xludf.DUMMYFUNCTION("""COMPUTED_VALUE"""),"Corn")</f>
        <v>Corn</v>
      </c>
      <c r="H748" s="6">
        <f>IFERROR(__xludf.DUMMYFUNCTION("""COMPUTED_VALUE"""),33000.0)</f>
        <v>33000</v>
      </c>
      <c r="I748" s="7">
        <f>IFERROR(__xludf.DUMMYFUNCTION("""COMPUTED_VALUE"""),44853.0)</f>
        <v>44853</v>
      </c>
      <c r="J748" s="7">
        <f>IFERROR(__xludf.DUMMYFUNCTION("""COMPUTED_VALUE"""),44866.0)</f>
        <v>44866</v>
      </c>
      <c r="K748" s="5" t="str">
        <f>IFERROR(__xludf.DUMMYFUNCTION("""COMPUTED_VALUE"""),"high-income")</f>
        <v>high-income</v>
      </c>
      <c r="L748" s="5" t="str">
        <f>IFERROR(__xludf.DUMMYFUNCTION("""COMPUTED_VALUE"""),"Bahamas")</f>
        <v>Bahamas</v>
      </c>
      <c r="M748" s="5" t="str">
        <f>IFERROR(__xludf.DUMMYFUNCTION("""COMPUTED_VALUE"""),"Europe &amp; Central Asia")</f>
        <v>Europe &amp; Central Asia</v>
      </c>
      <c r="N748" s="5" t="str">
        <f>IFERROR(__xludf.DUMMYFUNCTION("""COMPUTED_VALUE"""),"Western Europe and Others")</f>
        <v>Western Europe and Others</v>
      </c>
      <c r="O748" s="5" t="str">
        <f>IFERROR(__xludf.DUMMYFUNCTION("""COMPUTED_VALUE"""),"developed")</f>
        <v>developed</v>
      </c>
      <c r="P748" s="5"/>
      <c r="Q748" s="5"/>
    </row>
    <row r="749">
      <c r="A749" s="5" t="str">
        <f>IFERROR(__xludf.DUMMYFUNCTION("""COMPUTED_VALUE"""),"Outbound")</f>
        <v>Outbound</v>
      </c>
      <c r="B749" s="5">
        <f>IFERROR(__xludf.DUMMYFUNCTION("""COMPUTED_VALUE"""),355.0)</f>
        <v>355</v>
      </c>
      <c r="C749" s="5" t="str">
        <f>IFERROR(__xludf.DUMMYFUNCTION("""COMPUTED_VALUE"""),"ALMIRANTE STORNI")</f>
        <v>ALMIRANTE STORNI</v>
      </c>
      <c r="D749" s="5">
        <f>IFERROR(__xludf.DUMMYFUNCTION("""COMPUTED_VALUE"""),9497452.0)</f>
        <v>9497452</v>
      </c>
      <c r="E749" s="5" t="str">
        <f>IFERROR(__xludf.DUMMYFUNCTION("""COMPUTED_VALUE"""),"Chornomorsk")</f>
        <v>Chornomorsk</v>
      </c>
      <c r="F749" s="5" t="str">
        <f>IFERROR(__xludf.DUMMYFUNCTION("""COMPUTED_VALUE"""),"China")</f>
        <v>China</v>
      </c>
      <c r="G749" s="5" t="str">
        <f>IFERROR(__xludf.DUMMYFUNCTION("""COMPUTED_VALUE"""),"Sunflower meal")</f>
        <v>Sunflower meal</v>
      </c>
      <c r="H749" s="6">
        <f>IFERROR(__xludf.DUMMYFUNCTION("""COMPUTED_VALUE"""),21500.0)</f>
        <v>21500</v>
      </c>
      <c r="I749" s="7">
        <f>IFERROR(__xludf.DUMMYFUNCTION("""COMPUTED_VALUE"""),44853.0)</f>
        <v>44853</v>
      </c>
      <c r="J749" s="7">
        <f>IFERROR(__xludf.DUMMYFUNCTION("""COMPUTED_VALUE"""),44865.0)</f>
        <v>44865</v>
      </c>
      <c r="K749" s="5" t="str">
        <f>IFERROR(__xludf.DUMMYFUNCTION("""COMPUTED_VALUE"""),"upper-middle-income")</f>
        <v>upper-middle-income</v>
      </c>
      <c r="L749" s="5" t="str">
        <f>IFERROR(__xludf.DUMMYFUNCTION("""COMPUTED_VALUE"""),"Liberia")</f>
        <v>Liberia</v>
      </c>
      <c r="M749" s="5" t="str">
        <f>IFERROR(__xludf.DUMMYFUNCTION("""COMPUTED_VALUE"""),"East Asia &amp; Pacific")</f>
        <v>East Asia &amp; Pacific</v>
      </c>
      <c r="N749" s="5" t="str">
        <f>IFERROR(__xludf.DUMMYFUNCTION("""COMPUTED_VALUE"""),"Asia-Pacific")</f>
        <v>Asia-Pacific</v>
      </c>
      <c r="O749" s="5" t="str">
        <f>IFERROR(__xludf.DUMMYFUNCTION("""COMPUTED_VALUE"""),"developing")</f>
        <v>developing</v>
      </c>
      <c r="P749" s="5"/>
      <c r="Q749" s="5"/>
    </row>
    <row r="750">
      <c r="A750" s="5" t="str">
        <f>IFERROR(__xludf.DUMMYFUNCTION("""COMPUTED_VALUE"""),"Outbound")</f>
        <v>Outbound</v>
      </c>
      <c r="B750" s="5">
        <f>IFERROR(__xludf.DUMMYFUNCTION("""COMPUTED_VALUE"""),354.0)</f>
        <v>354</v>
      </c>
      <c r="C750" s="5" t="str">
        <f>IFERROR(__xludf.DUMMYFUNCTION("""COMPUTED_VALUE"""),"MATRIX")</f>
        <v>MATRIX</v>
      </c>
      <c r="D750" s="5">
        <f>IFERROR(__xludf.DUMMYFUNCTION("""COMPUTED_VALUE"""),9454125.0)</f>
        <v>9454125</v>
      </c>
      <c r="E750" s="5" t="str">
        <f>IFERROR(__xludf.DUMMYFUNCTION("""COMPUTED_VALUE"""),"Chornomorsk")</f>
        <v>Chornomorsk</v>
      </c>
      <c r="F750" s="5" t="str">
        <f>IFERROR(__xludf.DUMMYFUNCTION("""COMPUTED_VALUE"""),"Türkiye")</f>
        <v>Türkiye</v>
      </c>
      <c r="G750" s="5" t="str">
        <f>IFERROR(__xludf.DUMMYFUNCTION("""COMPUTED_VALUE"""),"Wheat")</f>
        <v>Wheat</v>
      </c>
      <c r="H750" s="6">
        <f>IFERROR(__xludf.DUMMYFUNCTION("""COMPUTED_VALUE"""),7000.0)</f>
        <v>7000</v>
      </c>
      <c r="I750" s="7">
        <f>IFERROR(__xludf.DUMMYFUNCTION("""COMPUTED_VALUE"""),44852.0)</f>
        <v>44852</v>
      </c>
      <c r="J750" s="7">
        <f>IFERROR(__xludf.DUMMYFUNCTION("""COMPUTED_VALUE"""),44865.0)</f>
        <v>44865</v>
      </c>
      <c r="K750" s="5" t="str">
        <f>IFERROR(__xludf.DUMMYFUNCTION("""COMPUTED_VALUE"""),"upper-middle-income")</f>
        <v>upper-middle-income</v>
      </c>
      <c r="L750" s="5" t="str">
        <f>IFERROR(__xludf.DUMMYFUNCTION("""COMPUTED_VALUE"""),"Panama")</f>
        <v>Panama</v>
      </c>
      <c r="M750" s="5" t="str">
        <f>IFERROR(__xludf.DUMMYFUNCTION("""COMPUTED_VALUE"""),"Europe &amp; Central Asia")</f>
        <v>Europe &amp; Central Asia</v>
      </c>
      <c r="N750" s="5" t="str">
        <f>IFERROR(__xludf.DUMMYFUNCTION("""COMPUTED_VALUE"""),"Asia-Pacific")</f>
        <v>Asia-Pacific</v>
      </c>
      <c r="O750" s="5" t="str">
        <f>IFERROR(__xludf.DUMMYFUNCTION("""COMPUTED_VALUE"""),"developing")</f>
        <v>developing</v>
      </c>
      <c r="P750" s="5"/>
      <c r="Q750" s="5"/>
    </row>
    <row r="751">
      <c r="A751" s="5" t="str">
        <f>IFERROR(__xludf.DUMMYFUNCTION("""COMPUTED_VALUE"""),"Outbound")</f>
        <v>Outbound</v>
      </c>
      <c r="B751" s="5">
        <f>IFERROR(__xludf.DUMMYFUNCTION("""COMPUTED_VALUE"""),353.0)</f>
        <v>353</v>
      </c>
      <c r="C751" s="5" t="str">
        <f>IFERROR(__xludf.DUMMYFUNCTION("""COMPUTED_VALUE"""),"MASTRO MITROS")</f>
        <v>MASTRO MITROS</v>
      </c>
      <c r="D751" s="5">
        <f>IFERROR(__xludf.DUMMYFUNCTION("""COMPUTED_VALUE"""),9228071.0)</f>
        <v>9228071</v>
      </c>
      <c r="E751" s="5" t="str">
        <f>IFERROR(__xludf.DUMMYFUNCTION("""COMPUTED_VALUE"""),"Odesa")</f>
        <v>Odesa</v>
      </c>
      <c r="F751" s="5" t="str">
        <f>IFERROR(__xludf.DUMMYFUNCTION("""COMPUTED_VALUE"""),"Israel")</f>
        <v>Israel</v>
      </c>
      <c r="G751" s="5" t="str">
        <f>IFERROR(__xludf.DUMMYFUNCTION("""COMPUTED_VALUE"""),"Wheat")</f>
        <v>Wheat</v>
      </c>
      <c r="H751" s="6">
        <f>IFERROR(__xludf.DUMMYFUNCTION("""COMPUTED_VALUE"""),33000.0)</f>
        <v>33000</v>
      </c>
      <c r="I751" s="7">
        <f>IFERROR(__xludf.DUMMYFUNCTION("""COMPUTED_VALUE"""),44852.0)</f>
        <v>44852</v>
      </c>
      <c r="J751" s="7">
        <f>IFERROR(__xludf.DUMMYFUNCTION("""COMPUTED_VALUE"""),44865.0)</f>
        <v>44865</v>
      </c>
      <c r="K751" s="5" t="str">
        <f>IFERROR(__xludf.DUMMYFUNCTION("""COMPUTED_VALUE"""),"high-income")</f>
        <v>high-income</v>
      </c>
      <c r="L751" s="5" t="str">
        <f>IFERROR(__xludf.DUMMYFUNCTION("""COMPUTED_VALUE"""),"Liberia")</f>
        <v>Liberia</v>
      </c>
      <c r="M751" s="5" t="str">
        <f>IFERROR(__xludf.DUMMYFUNCTION("""COMPUTED_VALUE"""),"Middle East &amp; North Africa")</f>
        <v>Middle East &amp; North Africa</v>
      </c>
      <c r="N751" s="5" t="str">
        <f>IFERROR(__xludf.DUMMYFUNCTION("""COMPUTED_VALUE"""),"Western Europe and Others")</f>
        <v>Western Europe and Others</v>
      </c>
      <c r="O751" s="5" t="str">
        <f>IFERROR(__xludf.DUMMYFUNCTION("""COMPUTED_VALUE"""),"developed")</f>
        <v>developed</v>
      </c>
      <c r="P751" s="5"/>
      <c r="Q751" s="5"/>
    </row>
    <row r="752">
      <c r="A752" s="5" t="str">
        <f>IFERROR(__xludf.DUMMYFUNCTION("""COMPUTED_VALUE"""),"Outbound")</f>
        <v>Outbound</v>
      </c>
      <c r="B752" s="5">
        <f>IFERROR(__xludf.DUMMYFUNCTION("""COMPUTED_VALUE"""),352.0)</f>
        <v>352</v>
      </c>
      <c r="C752" s="5" t="str">
        <f>IFERROR(__xludf.DUMMYFUNCTION("""COMPUTED_VALUE"""),"HASAN")</f>
        <v>HASAN</v>
      </c>
      <c r="D752" s="5">
        <f>IFERROR(__xludf.DUMMYFUNCTION("""COMPUTED_VALUE"""),9016179.0)</f>
        <v>9016179</v>
      </c>
      <c r="E752" s="5" t="str">
        <f>IFERROR(__xludf.DUMMYFUNCTION("""COMPUTED_VALUE"""),"Chornomorsk")</f>
        <v>Chornomorsk</v>
      </c>
      <c r="F752" s="5" t="str">
        <f>IFERROR(__xludf.DUMMYFUNCTION("""COMPUTED_VALUE"""),"Türkiye")</f>
        <v>Türkiye</v>
      </c>
      <c r="G752" s="5" t="str">
        <f>IFERROR(__xludf.DUMMYFUNCTION("""COMPUTED_VALUE"""),"Soya beans")</f>
        <v>Soya beans</v>
      </c>
      <c r="H752" s="6">
        <f>IFERROR(__xludf.DUMMYFUNCTION("""COMPUTED_VALUE"""),6000.0)</f>
        <v>6000</v>
      </c>
      <c r="I752" s="7">
        <f>IFERROR(__xludf.DUMMYFUNCTION("""COMPUTED_VALUE"""),44852.0)</f>
        <v>44852</v>
      </c>
      <c r="J752" s="7">
        <f>IFERROR(__xludf.DUMMYFUNCTION("""COMPUTED_VALUE"""),44865.0)</f>
        <v>44865</v>
      </c>
      <c r="K752" s="5" t="str">
        <f>IFERROR(__xludf.DUMMYFUNCTION("""COMPUTED_VALUE"""),"upper-middle-income")</f>
        <v>upper-middle-income</v>
      </c>
      <c r="L752" s="5" t="str">
        <f>IFERROR(__xludf.DUMMYFUNCTION("""COMPUTED_VALUE"""),"Sierra Leone")</f>
        <v>Sierra Leone</v>
      </c>
      <c r="M752" s="5" t="str">
        <f>IFERROR(__xludf.DUMMYFUNCTION("""COMPUTED_VALUE"""),"Europe &amp; Central Asia")</f>
        <v>Europe &amp; Central Asia</v>
      </c>
      <c r="N752" s="5" t="str">
        <f>IFERROR(__xludf.DUMMYFUNCTION("""COMPUTED_VALUE"""),"Asia-Pacific")</f>
        <v>Asia-Pacific</v>
      </c>
      <c r="O752" s="5" t="str">
        <f>IFERROR(__xludf.DUMMYFUNCTION("""COMPUTED_VALUE"""),"developing")</f>
        <v>developing</v>
      </c>
      <c r="P752" s="5"/>
      <c r="Q752" s="5"/>
    </row>
    <row r="753">
      <c r="A753" s="5" t="str">
        <f>IFERROR(__xludf.DUMMYFUNCTION("""COMPUTED_VALUE"""),"Outbound")</f>
        <v>Outbound</v>
      </c>
      <c r="B753" s="5">
        <f>IFERROR(__xludf.DUMMYFUNCTION("""COMPUTED_VALUE"""),351.0)</f>
        <v>351</v>
      </c>
      <c r="C753" s="5" t="str">
        <f>IFERROR(__xludf.DUMMYFUNCTION("""COMPUTED_VALUE"""),"ESENCE")</f>
        <v>ESENCE</v>
      </c>
      <c r="D753" s="5">
        <f>IFERROR(__xludf.DUMMYFUNCTION("""COMPUTED_VALUE"""),7827342.0)</f>
        <v>7827342</v>
      </c>
      <c r="E753" s="5" t="str">
        <f>IFERROR(__xludf.DUMMYFUNCTION("""COMPUTED_VALUE"""),"Odesa")</f>
        <v>Odesa</v>
      </c>
      <c r="F753" s="5" t="str">
        <f>IFERROR(__xludf.DUMMYFUNCTION("""COMPUTED_VALUE"""),"Türkiye")</f>
        <v>Türkiye</v>
      </c>
      <c r="G753" s="5" t="str">
        <f>IFERROR(__xludf.DUMMYFUNCTION("""COMPUTED_VALUE"""),"Wheat")</f>
        <v>Wheat</v>
      </c>
      <c r="H753" s="6">
        <f>IFERROR(__xludf.DUMMYFUNCTION("""COMPUTED_VALUE"""),3000.0)</f>
        <v>3000</v>
      </c>
      <c r="I753" s="7">
        <f>IFERROR(__xludf.DUMMYFUNCTION("""COMPUTED_VALUE"""),44852.0)</f>
        <v>44852</v>
      </c>
      <c r="J753" s="7">
        <f>IFERROR(__xludf.DUMMYFUNCTION("""COMPUTED_VALUE"""),44865.0)</f>
        <v>44865</v>
      </c>
      <c r="K753" s="5" t="str">
        <f>IFERROR(__xludf.DUMMYFUNCTION("""COMPUTED_VALUE"""),"upper-middle-income")</f>
        <v>upper-middle-income</v>
      </c>
      <c r="L753" s="5" t="str">
        <f>IFERROR(__xludf.DUMMYFUNCTION("""COMPUTED_VALUE"""),"Palau")</f>
        <v>Palau</v>
      </c>
      <c r="M753" s="5" t="str">
        <f>IFERROR(__xludf.DUMMYFUNCTION("""COMPUTED_VALUE"""),"Europe &amp; Central Asia")</f>
        <v>Europe &amp; Central Asia</v>
      </c>
      <c r="N753" s="5" t="str">
        <f>IFERROR(__xludf.DUMMYFUNCTION("""COMPUTED_VALUE"""),"Asia-Pacific")</f>
        <v>Asia-Pacific</v>
      </c>
      <c r="O753" s="5" t="str">
        <f>IFERROR(__xludf.DUMMYFUNCTION("""COMPUTED_VALUE"""),"developing")</f>
        <v>developing</v>
      </c>
      <c r="P753" s="5"/>
      <c r="Q753" s="5"/>
    </row>
    <row r="754">
      <c r="A754" s="5" t="str">
        <f>IFERROR(__xludf.DUMMYFUNCTION("""COMPUTED_VALUE"""),"Outbound")</f>
        <v>Outbound</v>
      </c>
      <c r="B754" s="5">
        <f>IFERROR(__xludf.DUMMYFUNCTION("""COMPUTED_VALUE"""),350.0)</f>
        <v>350</v>
      </c>
      <c r="C754" s="5" t="str">
        <f>IFERROR(__xludf.DUMMYFUNCTION("""COMPUTED_VALUE"""),"NEW LIBERTY")</f>
        <v>NEW LIBERTY</v>
      </c>
      <c r="D754" s="5">
        <f>IFERROR(__xludf.DUMMYFUNCTION("""COMPUTED_VALUE"""),9221645.0)</f>
        <v>9221645</v>
      </c>
      <c r="E754" s="5" t="str">
        <f>IFERROR(__xludf.DUMMYFUNCTION("""COMPUTED_VALUE"""),"Odesa")</f>
        <v>Odesa</v>
      </c>
      <c r="F754" s="5" t="str">
        <f>IFERROR(__xludf.DUMMYFUNCTION("""COMPUTED_VALUE"""),"Libya")</f>
        <v>Libya</v>
      </c>
      <c r="G754" s="5" t="str">
        <f>IFERROR(__xludf.DUMMYFUNCTION("""COMPUTED_VALUE"""),"Barley")</f>
        <v>Barley</v>
      </c>
      <c r="H754" s="6">
        <f>IFERROR(__xludf.DUMMYFUNCTION("""COMPUTED_VALUE"""),25000.0)</f>
        <v>25000</v>
      </c>
      <c r="I754" s="7">
        <f>IFERROR(__xludf.DUMMYFUNCTION("""COMPUTED_VALUE"""),44851.0)</f>
        <v>44851</v>
      </c>
      <c r="J754" s="7">
        <f>IFERROR(__xludf.DUMMYFUNCTION("""COMPUTED_VALUE"""),44866.0)</f>
        <v>44866</v>
      </c>
      <c r="K754" s="5" t="str">
        <f>IFERROR(__xludf.DUMMYFUNCTION("""COMPUTED_VALUE"""),"upper-middle-income")</f>
        <v>upper-middle-income</v>
      </c>
      <c r="L754" s="5" t="str">
        <f>IFERROR(__xludf.DUMMYFUNCTION("""COMPUTED_VALUE"""),"Belize")</f>
        <v>Belize</v>
      </c>
      <c r="M754" s="5" t="str">
        <f>IFERROR(__xludf.DUMMYFUNCTION("""COMPUTED_VALUE"""),"Middle East &amp; North Africa")</f>
        <v>Middle East &amp; North Africa</v>
      </c>
      <c r="N754" s="5" t="str">
        <f>IFERROR(__xludf.DUMMYFUNCTION("""COMPUTED_VALUE"""),"Africa")</f>
        <v>Africa</v>
      </c>
      <c r="O754" s="5" t="str">
        <f>IFERROR(__xludf.DUMMYFUNCTION("""COMPUTED_VALUE"""),"developing")</f>
        <v>developing</v>
      </c>
      <c r="P754" s="5"/>
      <c r="Q754" s="5"/>
    </row>
    <row r="755">
      <c r="A755" s="5" t="str">
        <f>IFERROR(__xludf.DUMMYFUNCTION("""COMPUTED_VALUE"""),"Outbound")</f>
        <v>Outbound</v>
      </c>
      <c r="B755" s="5">
        <f>IFERROR(__xludf.DUMMYFUNCTION("""COMPUTED_VALUE"""),349.0)</f>
        <v>349</v>
      </c>
      <c r="C755" s="5" t="str">
        <f>IFERROR(__xludf.DUMMYFUNCTION("""COMPUTED_VALUE"""),"GLOBAL AGLAIA")</f>
        <v>GLOBAL AGLAIA</v>
      </c>
      <c r="D755" s="5">
        <f>IFERROR(__xludf.DUMMYFUNCTION("""COMPUTED_VALUE"""),9737149.0)</f>
        <v>9737149</v>
      </c>
      <c r="E755" s="5" t="str">
        <f>IFERROR(__xludf.DUMMYFUNCTION("""COMPUTED_VALUE"""),"Yuzhny/Pivdennyi")</f>
        <v>Yuzhny/Pivdennyi</v>
      </c>
      <c r="F755" s="5" t="str">
        <f>IFERROR(__xludf.DUMMYFUNCTION("""COMPUTED_VALUE"""),"France")</f>
        <v>France</v>
      </c>
      <c r="G755" s="5" t="str">
        <f>IFERROR(__xludf.DUMMYFUNCTION("""COMPUTED_VALUE"""),"Sunflower seed")</f>
        <v>Sunflower seed</v>
      </c>
      <c r="H755" s="6">
        <f>IFERROR(__xludf.DUMMYFUNCTION("""COMPUTED_VALUE"""),22000.0)</f>
        <v>22000</v>
      </c>
      <c r="I755" s="7">
        <f>IFERROR(__xludf.DUMMYFUNCTION("""COMPUTED_VALUE"""),44851.0)</f>
        <v>44851</v>
      </c>
      <c r="J755" s="7">
        <f>IFERROR(__xludf.DUMMYFUNCTION("""COMPUTED_VALUE"""),44866.0)</f>
        <v>44866</v>
      </c>
      <c r="K755" s="5" t="str">
        <f>IFERROR(__xludf.DUMMYFUNCTION("""COMPUTED_VALUE"""),"high-income")</f>
        <v>high-income</v>
      </c>
      <c r="L755" s="5" t="str">
        <f>IFERROR(__xludf.DUMMYFUNCTION("""COMPUTED_VALUE"""),"Marshall Islands")</f>
        <v>Marshall Islands</v>
      </c>
      <c r="M755" s="5" t="str">
        <f>IFERROR(__xludf.DUMMYFUNCTION("""COMPUTED_VALUE"""),"Europe &amp; Central Asia")</f>
        <v>Europe &amp; Central Asia</v>
      </c>
      <c r="N755" s="5" t="str">
        <f>IFERROR(__xludf.DUMMYFUNCTION("""COMPUTED_VALUE"""),"Western Europe and Others")</f>
        <v>Western Europe and Others</v>
      </c>
      <c r="O755" s="5" t="str">
        <f>IFERROR(__xludf.DUMMYFUNCTION("""COMPUTED_VALUE"""),"developed")</f>
        <v>developed</v>
      </c>
      <c r="P755" s="5"/>
      <c r="Q755" s="5" t="str">
        <f>IFERROR(__xludf.DUMMYFUNCTION("""COMPUTED_VALUE"""),"Stranded")</f>
        <v>Stranded</v>
      </c>
    </row>
    <row r="756">
      <c r="A756" s="5" t="str">
        <f>IFERROR(__xludf.DUMMYFUNCTION("""COMPUTED_VALUE"""),"Outbound")</f>
        <v>Outbound</v>
      </c>
      <c r="B756" s="5">
        <f>IFERROR(__xludf.DUMMYFUNCTION("""COMPUTED_VALUE"""),348.0)</f>
        <v>348</v>
      </c>
      <c r="C756" s="5" t="str">
        <f>IFERROR(__xludf.DUMMYFUNCTION("""COMPUTED_VALUE"""),"GEN. POLAD HASHIMOV")</f>
        <v>GEN. POLAD HASHIMOV</v>
      </c>
      <c r="D756" s="5">
        <f>IFERROR(__xludf.DUMMYFUNCTION("""COMPUTED_VALUE"""),9575307.0)</f>
        <v>9575307</v>
      </c>
      <c r="E756" s="5" t="str">
        <f>IFERROR(__xludf.DUMMYFUNCTION("""COMPUTED_VALUE"""),"Chornomorsk")</f>
        <v>Chornomorsk</v>
      </c>
      <c r="F756" s="5" t="str">
        <f>IFERROR(__xludf.DUMMYFUNCTION("""COMPUTED_VALUE"""),"Italy")</f>
        <v>Italy</v>
      </c>
      <c r="G756" s="5" t="str">
        <f>IFERROR(__xludf.DUMMYFUNCTION("""COMPUTED_VALUE"""),"Sunflower oil")</f>
        <v>Sunflower oil</v>
      </c>
      <c r="H756" s="6">
        <f>IFERROR(__xludf.DUMMYFUNCTION("""COMPUTED_VALUE"""),4000.0)</f>
        <v>4000</v>
      </c>
      <c r="I756" s="7">
        <f>IFERROR(__xludf.DUMMYFUNCTION("""COMPUTED_VALUE"""),44851.0)</f>
        <v>44851</v>
      </c>
      <c r="J756" s="7">
        <f>IFERROR(__xludf.DUMMYFUNCTION("""COMPUTED_VALUE"""),44865.0)</f>
        <v>44865</v>
      </c>
      <c r="K756" s="5" t="str">
        <f>IFERROR(__xludf.DUMMYFUNCTION("""COMPUTED_VALUE"""),"high-income")</f>
        <v>high-income</v>
      </c>
      <c r="L756" s="5" t="str">
        <f>IFERROR(__xludf.DUMMYFUNCTION("""COMPUTED_VALUE"""),"Liberia")</f>
        <v>Liberia</v>
      </c>
      <c r="M756" s="5" t="str">
        <f>IFERROR(__xludf.DUMMYFUNCTION("""COMPUTED_VALUE"""),"Europe &amp; Central Asia")</f>
        <v>Europe &amp; Central Asia</v>
      </c>
      <c r="N756" s="5" t="str">
        <f>IFERROR(__xludf.DUMMYFUNCTION("""COMPUTED_VALUE"""),"Western Europe and Others")</f>
        <v>Western Europe and Others</v>
      </c>
      <c r="O756" s="5" t="str">
        <f>IFERROR(__xludf.DUMMYFUNCTION("""COMPUTED_VALUE"""),"developed")</f>
        <v>developed</v>
      </c>
      <c r="P756" s="5"/>
      <c r="Q756" s="5"/>
    </row>
    <row r="757">
      <c r="A757" s="5" t="str">
        <f>IFERROR(__xludf.DUMMYFUNCTION("""COMPUTED_VALUE"""),"Outbound +")</f>
        <v>Outbound +</v>
      </c>
      <c r="B757" s="5">
        <f>IFERROR(__xludf.DUMMYFUNCTION("""COMPUTED_VALUE"""),348.0)</f>
        <v>348</v>
      </c>
      <c r="C757" s="5" t="str">
        <f>IFERROR(__xludf.DUMMYFUNCTION("""COMPUTED_VALUE"""),"GEN. POLAD HASHIMOV")</f>
        <v>GEN. POLAD HASHIMOV</v>
      </c>
      <c r="D757" s="5">
        <f>IFERROR(__xludf.DUMMYFUNCTION("""COMPUTED_VALUE"""),9575307.0)</f>
        <v>9575307</v>
      </c>
      <c r="E757" s="5" t="str">
        <f>IFERROR(__xludf.DUMMYFUNCTION("""COMPUTED_VALUE"""),"Chornomorsk")</f>
        <v>Chornomorsk</v>
      </c>
      <c r="F757" s="5" t="str">
        <f>IFERROR(__xludf.DUMMYFUNCTION("""COMPUTED_VALUE"""),"Tunisia")</f>
        <v>Tunisia</v>
      </c>
      <c r="G757" s="5" t="str">
        <f>IFERROR(__xludf.DUMMYFUNCTION("""COMPUTED_VALUE"""),"Soya oil")</f>
        <v>Soya oil</v>
      </c>
      <c r="H757" s="6">
        <f>IFERROR(__xludf.DUMMYFUNCTION("""COMPUTED_VALUE"""),2200.0)</f>
        <v>2200</v>
      </c>
      <c r="I757" s="7">
        <f>IFERROR(__xludf.DUMMYFUNCTION("""COMPUTED_VALUE"""),44851.0)</f>
        <v>44851</v>
      </c>
      <c r="J757" s="7">
        <f>IFERROR(__xludf.DUMMYFUNCTION("""COMPUTED_VALUE"""),44865.0)</f>
        <v>44865</v>
      </c>
      <c r="K757" s="5" t="str">
        <f>IFERROR(__xludf.DUMMYFUNCTION("""COMPUTED_VALUE"""),"lower-middle income")</f>
        <v>lower-middle income</v>
      </c>
      <c r="L757" s="5" t="str">
        <f>IFERROR(__xludf.DUMMYFUNCTION("""COMPUTED_VALUE"""),"Liberia")</f>
        <v>Liberia</v>
      </c>
      <c r="M757" s="5" t="str">
        <f>IFERROR(__xludf.DUMMYFUNCTION("""COMPUTED_VALUE"""),"Middle East &amp; North Africa")</f>
        <v>Middle East &amp; North Africa</v>
      </c>
      <c r="N757" s="5" t="str">
        <f>IFERROR(__xludf.DUMMYFUNCTION("""COMPUTED_VALUE"""),"Africa")</f>
        <v>Africa</v>
      </c>
      <c r="O757" s="5" t="str">
        <f>IFERROR(__xludf.DUMMYFUNCTION("""COMPUTED_VALUE"""),"developing")</f>
        <v>developing</v>
      </c>
      <c r="P757" s="5"/>
      <c r="Q757" s="5"/>
    </row>
    <row r="758">
      <c r="A758" s="5" t="str">
        <f>IFERROR(__xludf.DUMMYFUNCTION("""COMPUTED_VALUE"""),"Outbound")</f>
        <v>Outbound</v>
      </c>
      <c r="B758" s="5">
        <f>IFERROR(__xludf.DUMMYFUNCTION("""COMPUTED_VALUE"""),347.0)</f>
        <v>347</v>
      </c>
      <c r="C758" s="5" t="str">
        <f>IFERROR(__xludf.DUMMYFUNCTION("""COMPUTED_VALUE"""),"CHOLA TREASURE")</f>
        <v>CHOLA TREASURE</v>
      </c>
      <c r="D758" s="5">
        <f>IFERROR(__xludf.DUMMYFUNCTION("""COMPUTED_VALUE"""),9244817.0)</f>
        <v>9244817</v>
      </c>
      <c r="E758" s="5" t="str">
        <f>IFERROR(__xludf.DUMMYFUNCTION("""COMPUTED_VALUE"""),"Chornomorsk")</f>
        <v>Chornomorsk</v>
      </c>
      <c r="F758" s="5" t="str">
        <f>IFERROR(__xludf.DUMMYFUNCTION("""COMPUTED_VALUE"""),"Pakistan")</f>
        <v>Pakistan</v>
      </c>
      <c r="G758" s="5" t="str">
        <f>IFERROR(__xludf.DUMMYFUNCTION("""COMPUTED_VALUE"""),"Canola")</f>
        <v>Canola</v>
      </c>
      <c r="H758" s="6">
        <f>IFERROR(__xludf.DUMMYFUNCTION("""COMPUTED_VALUE"""),61815.0)</f>
        <v>61815</v>
      </c>
      <c r="I758" s="7">
        <f>IFERROR(__xludf.DUMMYFUNCTION("""COMPUTED_VALUE"""),44851.0)</f>
        <v>44851</v>
      </c>
      <c r="J758" s="7">
        <f>IFERROR(__xludf.DUMMYFUNCTION("""COMPUTED_VALUE"""),44866.0)</f>
        <v>44866</v>
      </c>
      <c r="K758" s="5" t="str">
        <f>IFERROR(__xludf.DUMMYFUNCTION("""COMPUTED_VALUE"""),"lower-middle income")</f>
        <v>lower-middle income</v>
      </c>
      <c r="L758" s="5" t="str">
        <f>IFERROR(__xludf.DUMMYFUNCTION("""COMPUTED_VALUE"""),"Singapore")</f>
        <v>Singapore</v>
      </c>
      <c r="M758" s="5" t="str">
        <f>IFERROR(__xludf.DUMMYFUNCTION("""COMPUTED_VALUE"""),"South Asia")</f>
        <v>South Asia</v>
      </c>
      <c r="N758" s="5" t="str">
        <f>IFERROR(__xludf.DUMMYFUNCTION("""COMPUTED_VALUE"""),"Asia-Pacific")</f>
        <v>Asia-Pacific</v>
      </c>
      <c r="O758" s="5" t="str">
        <f>IFERROR(__xludf.DUMMYFUNCTION("""COMPUTED_VALUE"""),"developing")</f>
        <v>developing</v>
      </c>
      <c r="P758" s="5"/>
      <c r="Q758" s="5"/>
    </row>
    <row r="759">
      <c r="A759" s="5" t="str">
        <f>IFERROR(__xludf.DUMMYFUNCTION("""COMPUTED_VALUE"""),"Outbound")</f>
        <v>Outbound</v>
      </c>
      <c r="B759" s="5">
        <f>IFERROR(__xludf.DUMMYFUNCTION("""COMPUTED_VALUE"""),346.0)</f>
        <v>346</v>
      </c>
      <c r="C759" s="5" t="str">
        <f>IFERROR(__xludf.DUMMYFUNCTION("""COMPUTED_VALUE"""),"ADMIRAL")</f>
        <v>ADMIRAL</v>
      </c>
      <c r="D759" s="5">
        <f>IFERROR(__xludf.DUMMYFUNCTION("""COMPUTED_VALUE"""),8408648.0)</f>
        <v>8408648</v>
      </c>
      <c r="E759" s="5" t="str">
        <f>IFERROR(__xludf.DUMMYFUNCTION("""COMPUTED_VALUE"""),"Odesa")</f>
        <v>Odesa</v>
      </c>
      <c r="F759" s="5" t="str">
        <f>IFERROR(__xludf.DUMMYFUNCTION("""COMPUTED_VALUE"""),"Türkiye")</f>
        <v>Türkiye</v>
      </c>
      <c r="G759" s="5" t="str">
        <f>IFERROR(__xludf.DUMMYFUNCTION("""COMPUTED_VALUE"""),"Barley")</f>
        <v>Barley</v>
      </c>
      <c r="H759" s="6">
        <f>IFERROR(__xludf.DUMMYFUNCTION("""COMPUTED_VALUE"""),7300.0)</f>
        <v>7300</v>
      </c>
      <c r="I759" s="7">
        <f>IFERROR(__xludf.DUMMYFUNCTION("""COMPUTED_VALUE"""),44851.0)</f>
        <v>44851</v>
      </c>
      <c r="J759" s="7">
        <f>IFERROR(__xludf.DUMMYFUNCTION("""COMPUTED_VALUE"""),44865.0)</f>
        <v>44865</v>
      </c>
      <c r="K759" s="5" t="str">
        <f>IFERROR(__xludf.DUMMYFUNCTION("""COMPUTED_VALUE"""),"upper-middle-income")</f>
        <v>upper-middle-income</v>
      </c>
      <c r="L759" s="5" t="str">
        <f>IFERROR(__xludf.DUMMYFUNCTION("""COMPUTED_VALUE"""),"Comoros")</f>
        <v>Comoros</v>
      </c>
      <c r="M759" s="5" t="str">
        <f>IFERROR(__xludf.DUMMYFUNCTION("""COMPUTED_VALUE"""),"Europe &amp; Central Asia")</f>
        <v>Europe &amp; Central Asia</v>
      </c>
      <c r="N759" s="5" t="str">
        <f>IFERROR(__xludf.DUMMYFUNCTION("""COMPUTED_VALUE"""),"Asia-Pacific")</f>
        <v>Asia-Pacific</v>
      </c>
      <c r="O759" s="5" t="str">
        <f>IFERROR(__xludf.DUMMYFUNCTION("""COMPUTED_VALUE"""),"developing")</f>
        <v>developing</v>
      </c>
      <c r="P759" s="5"/>
      <c r="Q759" s="5"/>
    </row>
    <row r="760">
      <c r="A760" s="5" t="str">
        <f>IFERROR(__xludf.DUMMYFUNCTION("""COMPUTED_VALUE"""),"Outbound")</f>
        <v>Outbound</v>
      </c>
      <c r="B760" s="5">
        <f>IFERROR(__xludf.DUMMYFUNCTION("""COMPUTED_VALUE"""),345.0)</f>
        <v>345</v>
      </c>
      <c r="C760" s="5" t="str">
        <f>IFERROR(__xludf.DUMMYFUNCTION("""COMPUTED_VALUE"""),"OMICRON CREST")</f>
        <v>OMICRON CREST</v>
      </c>
      <c r="D760" s="5">
        <f>IFERROR(__xludf.DUMMYFUNCTION("""COMPUTED_VALUE"""),9304203.0)</f>
        <v>9304203</v>
      </c>
      <c r="E760" s="5" t="str">
        <f>IFERROR(__xludf.DUMMYFUNCTION("""COMPUTED_VALUE"""),"Yuzhny/Pivdennyi")</f>
        <v>Yuzhny/Pivdennyi</v>
      </c>
      <c r="F760" s="5" t="str">
        <f>IFERROR(__xludf.DUMMYFUNCTION("""COMPUTED_VALUE"""),"China")</f>
        <v>China</v>
      </c>
      <c r="G760" s="5" t="str">
        <f>IFERROR(__xludf.DUMMYFUNCTION("""COMPUTED_VALUE"""),"Corn")</f>
        <v>Corn</v>
      </c>
      <c r="H760" s="6">
        <f>IFERROR(__xludf.DUMMYFUNCTION("""COMPUTED_VALUE"""),47185.0)</f>
        <v>47185</v>
      </c>
      <c r="I760" s="7">
        <f>IFERROR(__xludf.DUMMYFUNCTION("""COMPUTED_VALUE"""),44850.0)</f>
        <v>44850</v>
      </c>
      <c r="J760" s="7">
        <f>IFERROR(__xludf.DUMMYFUNCTION("""COMPUTED_VALUE"""),44865.0)</f>
        <v>44865</v>
      </c>
      <c r="K760" s="5" t="str">
        <f>IFERROR(__xludf.DUMMYFUNCTION("""COMPUTED_VALUE"""),"upper-middle-income")</f>
        <v>upper-middle-income</v>
      </c>
      <c r="L760" s="5" t="str">
        <f>IFERROR(__xludf.DUMMYFUNCTION("""COMPUTED_VALUE"""),"Liberia")</f>
        <v>Liberia</v>
      </c>
      <c r="M760" s="5" t="str">
        <f>IFERROR(__xludf.DUMMYFUNCTION("""COMPUTED_VALUE"""),"East Asia &amp; Pacific")</f>
        <v>East Asia &amp; Pacific</v>
      </c>
      <c r="N760" s="5" t="str">
        <f>IFERROR(__xludf.DUMMYFUNCTION("""COMPUTED_VALUE"""),"Asia-Pacific")</f>
        <v>Asia-Pacific</v>
      </c>
      <c r="O760" s="5" t="str">
        <f>IFERROR(__xludf.DUMMYFUNCTION("""COMPUTED_VALUE"""),"developing")</f>
        <v>developing</v>
      </c>
      <c r="P760" s="5"/>
      <c r="Q760" s="5"/>
    </row>
    <row r="761">
      <c r="A761" s="5" t="str">
        <f>IFERROR(__xludf.DUMMYFUNCTION("""COMPUTED_VALUE"""),"Outbound +")</f>
        <v>Outbound +</v>
      </c>
      <c r="B761" s="5">
        <f>IFERROR(__xludf.DUMMYFUNCTION("""COMPUTED_VALUE"""),345.0)</f>
        <v>345</v>
      </c>
      <c r="C761" s="5" t="str">
        <f>IFERROR(__xludf.DUMMYFUNCTION("""COMPUTED_VALUE"""),"OMICRON CREST")</f>
        <v>OMICRON CREST</v>
      </c>
      <c r="D761" s="5">
        <f>IFERROR(__xludf.DUMMYFUNCTION("""COMPUTED_VALUE"""),9304203.0)</f>
        <v>9304203</v>
      </c>
      <c r="E761" s="5" t="str">
        <f>IFERROR(__xludf.DUMMYFUNCTION("""COMPUTED_VALUE"""),"Yuzhny/Pivdennyi")</f>
        <v>Yuzhny/Pivdennyi</v>
      </c>
      <c r="F761" s="5" t="str">
        <f>IFERROR(__xludf.DUMMYFUNCTION("""COMPUTED_VALUE"""),"China")</f>
        <v>China</v>
      </c>
      <c r="G761" s="5" t="str">
        <f>IFERROR(__xludf.DUMMYFUNCTION("""COMPUTED_VALUE"""),"Sunflower meal")</f>
        <v>Sunflower meal</v>
      </c>
      <c r="H761" s="6">
        <f>IFERROR(__xludf.DUMMYFUNCTION("""COMPUTED_VALUE"""),17815.0)</f>
        <v>17815</v>
      </c>
      <c r="I761" s="7">
        <f>IFERROR(__xludf.DUMMYFUNCTION("""COMPUTED_VALUE"""),44850.0)</f>
        <v>44850</v>
      </c>
      <c r="J761" s="7">
        <f>IFERROR(__xludf.DUMMYFUNCTION("""COMPUTED_VALUE"""),44865.0)</f>
        <v>44865</v>
      </c>
      <c r="K761" s="5" t="str">
        <f>IFERROR(__xludf.DUMMYFUNCTION("""COMPUTED_VALUE"""),"upper-middle-income")</f>
        <v>upper-middle-income</v>
      </c>
      <c r="L761" s="5" t="str">
        <f>IFERROR(__xludf.DUMMYFUNCTION("""COMPUTED_VALUE"""),"Liberia")</f>
        <v>Liberia</v>
      </c>
      <c r="M761" s="5" t="str">
        <f>IFERROR(__xludf.DUMMYFUNCTION("""COMPUTED_VALUE"""),"East Asia &amp; Pacific")</f>
        <v>East Asia &amp; Pacific</v>
      </c>
      <c r="N761" s="5" t="str">
        <f>IFERROR(__xludf.DUMMYFUNCTION("""COMPUTED_VALUE"""),"Asia-Pacific")</f>
        <v>Asia-Pacific</v>
      </c>
      <c r="O761" s="5" t="str">
        <f>IFERROR(__xludf.DUMMYFUNCTION("""COMPUTED_VALUE"""),"developing")</f>
        <v>developing</v>
      </c>
      <c r="P761" s="5"/>
      <c r="Q761" s="5"/>
    </row>
    <row r="762">
      <c r="A762" s="5" t="str">
        <f>IFERROR(__xludf.DUMMYFUNCTION("""COMPUTED_VALUE"""),"Outbound")</f>
        <v>Outbound</v>
      </c>
      <c r="B762" s="5">
        <f>IFERROR(__xludf.DUMMYFUNCTION("""COMPUTED_VALUE"""),344.0)</f>
        <v>344</v>
      </c>
      <c r="C762" s="5" t="str">
        <f>IFERROR(__xludf.DUMMYFUNCTION("""COMPUTED_VALUE"""),"LARA S")</f>
        <v>LARA S</v>
      </c>
      <c r="D762" s="5">
        <f>IFERROR(__xludf.DUMMYFUNCTION("""COMPUTED_VALUE"""),9334301.0)</f>
        <v>9334301</v>
      </c>
      <c r="E762" s="5" t="str">
        <f>IFERROR(__xludf.DUMMYFUNCTION("""COMPUTED_VALUE"""),"Chornomorsk")</f>
        <v>Chornomorsk</v>
      </c>
      <c r="F762" s="5" t="str">
        <f>IFERROR(__xludf.DUMMYFUNCTION("""COMPUTED_VALUE"""),"Italy")</f>
        <v>Italy</v>
      </c>
      <c r="G762" s="5" t="str">
        <f>IFERROR(__xludf.DUMMYFUNCTION("""COMPUTED_VALUE"""),"Sunflower oil")</f>
        <v>Sunflower oil</v>
      </c>
      <c r="H762" s="6">
        <f>IFERROR(__xludf.DUMMYFUNCTION("""COMPUTED_VALUE"""),5750.0)</f>
        <v>5750</v>
      </c>
      <c r="I762" s="7">
        <f>IFERROR(__xludf.DUMMYFUNCTION("""COMPUTED_VALUE"""),44850.0)</f>
        <v>44850</v>
      </c>
      <c r="J762" s="7">
        <f>IFERROR(__xludf.DUMMYFUNCTION("""COMPUTED_VALUE"""),44865.0)</f>
        <v>44865</v>
      </c>
      <c r="K762" s="5" t="str">
        <f>IFERROR(__xludf.DUMMYFUNCTION("""COMPUTED_VALUE"""),"high-income")</f>
        <v>high-income</v>
      </c>
      <c r="L762" s="5" t="str">
        <f>IFERROR(__xludf.DUMMYFUNCTION("""COMPUTED_VALUE"""),"Malta")</f>
        <v>Malta</v>
      </c>
      <c r="M762" s="5" t="str">
        <f>IFERROR(__xludf.DUMMYFUNCTION("""COMPUTED_VALUE"""),"Europe &amp; Central Asia")</f>
        <v>Europe &amp; Central Asia</v>
      </c>
      <c r="N762" s="5" t="str">
        <f>IFERROR(__xludf.DUMMYFUNCTION("""COMPUTED_VALUE"""),"Western Europe and Others")</f>
        <v>Western Europe and Others</v>
      </c>
      <c r="O762" s="5" t="str">
        <f>IFERROR(__xludf.DUMMYFUNCTION("""COMPUTED_VALUE"""),"developed")</f>
        <v>developed</v>
      </c>
      <c r="P762" s="5"/>
      <c r="Q762" s="5"/>
    </row>
    <row r="763">
      <c r="A763" s="5" t="str">
        <f>IFERROR(__xludf.DUMMYFUNCTION("""COMPUTED_VALUE"""),"Outbound")</f>
        <v>Outbound</v>
      </c>
      <c r="B763" s="5">
        <f>IFERROR(__xludf.DUMMYFUNCTION("""COMPUTED_VALUE"""),343.0)</f>
        <v>343</v>
      </c>
      <c r="C763" s="5" t="str">
        <f>IFERROR(__xludf.DUMMYFUNCTION("""COMPUTED_VALUE"""),"HELGA")</f>
        <v>HELGA</v>
      </c>
      <c r="D763" s="5">
        <f>IFERROR(__xludf.DUMMYFUNCTION("""COMPUTED_VALUE"""),9444912.0)</f>
        <v>9444912</v>
      </c>
      <c r="E763" s="5" t="str">
        <f>IFERROR(__xludf.DUMMYFUNCTION("""COMPUTED_VALUE"""),"Chornomorsk")</f>
        <v>Chornomorsk</v>
      </c>
      <c r="F763" s="5" t="str">
        <f>IFERROR(__xludf.DUMMYFUNCTION("""COMPUTED_VALUE"""),"France")</f>
        <v>France</v>
      </c>
      <c r="G763" s="5" t="str">
        <f>IFERROR(__xludf.DUMMYFUNCTION("""COMPUTED_VALUE"""),"Sunflower seed")</f>
        <v>Sunflower seed</v>
      </c>
      <c r="H763" s="6">
        <f>IFERROR(__xludf.DUMMYFUNCTION("""COMPUTED_VALUE"""),15469.0)</f>
        <v>15469</v>
      </c>
      <c r="I763" s="7">
        <f>IFERROR(__xludf.DUMMYFUNCTION("""COMPUTED_VALUE"""),44850.0)</f>
        <v>44850</v>
      </c>
      <c r="J763" s="7">
        <f>IFERROR(__xludf.DUMMYFUNCTION("""COMPUTED_VALUE"""),44865.0)</f>
        <v>44865</v>
      </c>
      <c r="K763" s="5" t="str">
        <f>IFERROR(__xludf.DUMMYFUNCTION("""COMPUTED_VALUE"""),"high-income")</f>
        <v>high-income</v>
      </c>
      <c r="L763" s="5" t="str">
        <f>IFERROR(__xludf.DUMMYFUNCTION("""COMPUTED_VALUE"""),"Liberia")</f>
        <v>Liberia</v>
      </c>
      <c r="M763" s="5" t="str">
        <f>IFERROR(__xludf.DUMMYFUNCTION("""COMPUTED_VALUE"""),"Europe &amp; Central Asia")</f>
        <v>Europe &amp; Central Asia</v>
      </c>
      <c r="N763" s="5" t="str">
        <f>IFERROR(__xludf.DUMMYFUNCTION("""COMPUTED_VALUE"""),"Western Europe and Others")</f>
        <v>Western Europe and Others</v>
      </c>
      <c r="O763" s="5" t="str">
        <f>IFERROR(__xludf.DUMMYFUNCTION("""COMPUTED_VALUE"""),"developed")</f>
        <v>developed</v>
      </c>
      <c r="P763" s="5"/>
      <c r="Q763" s="5"/>
    </row>
    <row r="764">
      <c r="A764" s="5" t="str">
        <f>IFERROR(__xludf.DUMMYFUNCTION("""COMPUTED_VALUE"""),"Outbound")</f>
        <v>Outbound</v>
      </c>
      <c r="B764" s="5">
        <f>IFERROR(__xludf.DUMMYFUNCTION("""COMPUTED_VALUE"""),342.0)</f>
        <v>342</v>
      </c>
      <c r="C764" s="5" t="str">
        <f>IFERROR(__xludf.DUMMYFUNCTION("""COMPUTED_VALUE"""),"EAUBONNE")</f>
        <v>EAUBONNE</v>
      </c>
      <c r="D764" s="5">
        <f>IFERROR(__xludf.DUMMYFUNCTION("""COMPUTED_VALUE"""),9663104.0)</f>
        <v>9663104</v>
      </c>
      <c r="E764" s="5" t="str">
        <f>IFERROR(__xludf.DUMMYFUNCTION("""COMPUTED_VALUE"""),"Odesa")</f>
        <v>Odesa</v>
      </c>
      <c r="F764" s="5" t="str">
        <f>IFERROR(__xludf.DUMMYFUNCTION("""COMPUTED_VALUE"""),"Kenya")</f>
        <v>Kenya</v>
      </c>
      <c r="G764" s="5" t="str">
        <f>IFERROR(__xludf.DUMMYFUNCTION("""COMPUTED_VALUE"""),"Wheat")</f>
        <v>Wheat</v>
      </c>
      <c r="H764" s="6">
        <f>IFERROR(__xludf.DUMMYFUNCTION("""COMPUTED_VALUE"""),53376.0)</f>
        <v>53376</v>
      </c>
      <c r="I764" s="7">
        <f>IFERROR(__xludf.DUMMYFUNCTION("""COMPUTED_VALUE"""),44850.0)</f>
        <v>44850</v>
      </c>
      <c r="J764" s="7">
        <f>IFERROR(__xludf.DUMMYFUNCTION("""COMPUTED_VALUE"""),44865.0)</f>
        <v>44865</v>
      </c>
      <c r="K764" s="5" t="str">
        <f>IFERROR(__xludf.DUMMYFUNCTION("""COMPUTED_VALUE"""),"lower-middle income")</f>
        <v>lower-middle income</v>
      </c>
      <c r="L764" s="5" t="str">
        <f>IFERROR(__xludf.DUMMYFUNCTION("""COMPUTED_VALUE"""),"Marshall Islands")</f>
        <v>Marshall Islands</v>
      </c>
      <c r="M764" s="5" t="str">
        <f>IFERROR(__xludf.DUMMYFUNCTION("""COMPUTED_VALUE"""),"Sub-Saharan Africa")</f>
        <v>Sub-Saharan Africa</v>
      </c>
      <c r="N764" s="5" t="str">
        <f>IFERROR(__xludf.DUMMYFUNCTION("""COMPUTED_VALUE"""),"Africa")</f>
        <v>Africa</v>
      </c>
      <c r="O764" s="5" t="str">
        <f>IFERROR(__xludf.DUMMYFUNCTION("""COMPUTED_VALUE"""),"developing")</f>
        <v>developing</v>
      </c>
      <c r="P764" s="5"/>
      <c r="Q764" s="5"/>
    </row>
    <row r="765">
      <c r="A765" s="5" t="str">
        <f>IFERROR(__xludf.DUMMYFUNCTION("""COMPUTED_VALUE"""),"Outbound")</f>
        <v>Outbound</v>
      </c>
      <c r="B765" s="5">
        <f>IFERROR(__xludf.DUMMYFUNCTION("""COMPUTED_VALUE"""),341.0)</f>
        <v>341</v>
      </c>
      <c r="C765" s="5" t="str">
        <f>IFERROR(__xludf.DUMMYFUNCTION("""COMPUTED_VALUE"""),"QUEEN SARA")</f>
        <v>QUEEN SARA</v>
      </c>
      <c r="D765" s="5">
        <f>IFERROR(__xludf.DUMMYFUNCTION("""COMPUTED_VALUE"""),9132507.0)</f>
        <v>9132507</v>
      </c>
      <c r="E765" s="5" t="str">
        <f>IFERROR(__xludf.DUMMYFUNCTION("""COMPUTED_VALUE"""),"Yuzhny/Pivdennyi")</f>
        <v>Yuzhny/Pivdennyi</v>
      </c>
      <c r="F765" s="5" t="str">
        <f>IFERROR(__xludf.DUMMYFUNCTION("""COMPUTED_VALUE"""),"Türkiye")</f>
        <v>Türkiye</v>
      </c>
      <c r="G765" s="5" t="str">
        <f>IFERROR(__xludf.DUMMYFUNCTION("""COMPUTED_VALUE"""),"Sunflower seed")</f>
        <v>Sunflower seed</v>
      </c>
      <c r="H765" s="6">
        <f>IFERROR(__xludf.DUMMYFUNCTION("""COMPUTED_VALUE"""),7400.0)</f>
        <v>7400</v>
      </c>
      <c r="I765" s="7">
        <f>IFERROR(__xludf.DUMMYFUNCTION("""COMPUTED_VALUE"""),44849.0)</f>
        <v>44849</v>
      </c>
      <c r="J765" s="7">
        <f>IFERROR(__xludf.DUMMYFUNCTION("""COMPUTED_VALUE"""),44865.0)</f>
        <v>44865</v>
      </c>
      <c r="K765" s="5" t="str">
        <f>IFERROR(__xludf.DUMMYFUNCTION("""COMPUTED_VALUE"""),"upper-middle-income")</f>
        <v>upper-middle-income</v>
      </c>
      <c r="L765" s="5" t="str">
        <f>IFERROR(__xludf.DUMMYFUNCTION("""COMPUTED_VALUE"""),"Sierra Leone")</f>
        <v>Sierra Leone</v>
      </c>
      <c r="M765" s="5" t="str">
        <f>IFERROR(__xludf.DUMMYFUNCTION("""COMPUTED_VALUE"""),"Europe &amp; Central Asia")</f>
        <v>Europe &amp; Central Asia</v>
      </c>
      <c r="N765" s="5" t="str">
        <f>IFERROR(__xludf.DUMMYFUNCTION("""COMPUTED_VALUE"""),"Asia-Pacific")</f>
        <v>Asia-Pacific</v>
      </c>
      <c r="O765" s="5" t="str">
        <f>IFERROR(__xludf.DUMMYFUNCTION("""COMPUTED_VALUE"""),"developing")</f>
        <v>developing</v>
      </c>
      <c r="P765" s="5"/>
      <c r="Q765" s="5"/>
    </row>
    <row r="766">
      <c r="A766" s="5" t="str">
        <f>IFERROR(__xludf.DUMMYFUNCTION("""COMPUTED_VALUE"""),"Outbound")</f>
        <v>Outbound</v>
      </c>
      <c r="B766" s="5">
        <f>IFERROR(__xludf.DUMMYFUNCTION("""COMPUTED_VALUE"""),340.0)</f>
        <v>340</v>
      </c>
      <c r="C766" s="5" t="str">
        <f>IFERROR(__xludf.DUMMYFUNCTION("""COMPUTED_VALUE"""),"NEW LEVANT")</f>
        <v>NEW LEVANT</v>
      </c>
      <c r="D766" s="5">
        <f>IFERROR(__xludf.DUMMYFUNCTION("""COMPUTED_VALUE"""),9111371.0)</f>
        <v>9111371</v>
      </c>
      <c r="E766" s="5" t="str">
        <f>IFERROR(__xludf.DUMMYFUNCTION("""COMPUTED_VALUE"""),"Odesa")</f>
        <v>Odesa</v>
      </c>
      <c r="F766" s="5" t="str">
        <f>IFERROR(__xludf.DUMMYFUNCTION("""COMPUTED_VALUE"""),"Türkiye")</f>
        <v>Türkiye</v>
      </c>
      <c r="G766" s="5" t="str">
        <f>IFERROR(__xludf.DUMMYFUNCTION("""COMPUTED_VALUE"""),"Corn")</f>
        <v>Corn</v>
      </c>
      <c r="H766" s="6">
        <f>IFERROR(__xludf.DUMMYFUNCTION("""COMPUTED_VALUE"""),25000.0)</f>
        <v>25000</v>
      </c>
      <c r="I766" s="7">
        <f>IFERROR(__xludf.DUMMYFUNCTION("""COMPUTED_VALUE"""),44849.0)</f>
        <v>44849</v>
      </c>
      <c r="J766" s="7">
        <f>IFERROR(__xludf.DUMMYFUNCTION("""COMPUTED_VALUE"""),44864.0)</f>
        <v>44864</v>
      </c>
      <c r="K766" s="5" t="str">
        <f>IFERROR(__xludf.DUMMYFUNCTION("""COMPUTED_VALUE"""),"upper-middle-income")</f>
        <v>upper-middle-income</v>
      </c>
      <c r="L766" s="5" t="str">
        <f>IFERROR(__xludf.DUMMYFUNCTION("""COMPUTED_VALUE"""),"Belize")</f>
        <v>Belize</v>
      </c>
      <c r="M766" s="5" t="str">
        <f>IFERROR(__xludf.DUMMYFUNCTION("""COMPUTED_VALUE"""),"Europe &amp; Central Asia")</f>
        <v>Europe &amp; Central Asia</v>
      </c>
      <c r="N766" s="5" t="str">
        <f>IFERROR(__xludf.DUMMYFUNCTION("""COMPUTED_VALUE"""),"Asia-Pacific")</f>
        <v>Asia-Pacific</v>
      </c>
      <c r="O766" s="5" t="str">
        <f>IFERROR(__xludf.DUMMYFUNCTION("""COMPUTED_VALUE"""),"developing")</f>
        <v>developing</v>
      </c>
      <c r="P766" s="5"/>
      <c r="Q766" s="5"/>
    </row>
    <row r="767">
      <c r="A767" s="5" t="str">
        <f>IFERROR(__xludf.DUMMYFUNCTION("""COMPUTED_VALUE"""),"Outbound")</f>
        <v>Outbound</v>
      </c>
      <c r="B767" s="5">
        <f>IFERROR(__xludf.DUMMYFUNCTION("""COMPUTED_VALUE"""),339.0)</f>
        <v>339</v>
      </c>
      <c r="C767" s="5" t="str">
        <f>IFERROR(__xludf.DUMMYFUNCTION("""COMPUTED_VALUE"""),"MRC HATICE ANA")</f>
        <v>MRC HATICE ANA</v>
      </c>
      <c r="D767" s="5">
        <f>IFERROR(__xludf.DUMMYFUNCTION("""COMPUTED_VALUE"""),9536935.0)</f>
        <v>9536935</v>
      </c>
      <c r="E767" s="5" t="str">
        <f>IFERROR(__xludf.DUMMYFUNCTION("""COMPUTED_VALUE"""),"Odesa")</f>
        <v>Odesa</v>
      </c>
      <c r="F767" s="5" t="str">
        <f>IFERROR(__xludf.DUMMYFUNCTION("""COMPUTED_VALUE"""),"Bulgaria")</f>
        <v>Bulgaria</v>
      </c>
      <c r="G767" s="5" t="str">
        <f>IFERROR(__xludf.DUMMYFUNCTION("""COMPUTED_VALUE"""),"Sunflower oil")</f>
        <v>Sunflower oil</v>
      </c>
      <c r="H767" s="6">
        <f>IFERROR(__xludf.DUMMYFUNCTION("""COMPUTED_VALUE"""),5801.0)</f>
        <v>5801</v>
      </c>
      <c r="I767" s="7">
        <f>IFERROR(__xludf.DUMMYFUNCTION("""COMPUTED_VALUE"""),44849.0)</f>
        <v>44849</v>
      </c>
      <c r="J767" s="7">
        <f>IFERROR(__xludf.DUMMYFUNCTION("""COMPUTED_VALUE"""),44865.0)</f>
        <v>44865</v>
      </c>
      <c r="K767" s="5" t="str">
        <f>IFERROR(__xludf.DUMMYFUNCTION("""COMPUTED_VALUE"""),"upper-middle-income")</f>
        <v>upper-middle-income</v>
      </c>
      <c r="L767" s="5" t="str">
        <f>IFERROR(__xludf.DUMMYFUNCTION("""COMPUTED_VALUE"""),"Malta")</f>
        <v>Malta</v>
      </c>
      <c r="M767" s="5" t="str">
        <f>IFERROR(__xludf.DUMMYFUNCTION("""COMPUTED_VALUE"""),"Europe &amp; Central Asia")</f>
        <v>Europe &amp; Central Asia</v>
      </c>
      <c r="N767" s="5" t="str">
        <f>IFERROR(__xludf.DUMMYFUNCTION("""COMPUTED_VALUE"""),"Eastern Europe")</f>
        <v>Eastern Europe</v>
      </c>
      <c r="O767" s="5" t="str">
        <f>IFERROR(__xludf.DUMMYFUNCTION("""COMPUTED_VALUE"""),"developed")</f>
        <v>developed</v>
      </c>
      <c r="P767" s="5"/>
      <c r="Q767" s="5"/>
    </row>
    <row r="768">
      <c r="A768" s="5" t="str">
        <f>IFERROR(__xludf.DUMMYFUNCTION("""COMPUTED_VALUE"""),"Outbound")</f>
        <v>Outbound</v>
      </c>
      <c r="B768" s="5">
        <f>IFERROR(__xludf.DUMMYFUNCTION("""COMPUTED_VALUE"""),338.0)</f>
        <v>338</v>
      </c>
      <c r="C768" s="5" t="str">
        <f>IFERROR(__xludf.DUMMYFUNCTION("""COMPUTED_VALUE"""),"LADY ELA")</f>
        <v>LADY ELA</v>
      </c>
      <c r="D768" s="5">
        <f>IFERROR(__xludf.DUMMYFUNCTION("""COMPUTED_VALUE"""),9511442.0)</f>
        <v>9511442</v>
      </c>
      <c r="E768" s="5" t="str">
        <f>IFERROR(__xludf.DUMMYFUNCTION("""COMPUTED_VALUE"""),"Odesa")</f>
        <v>Odesa</v>
      </c>
      <c r="F768" s="5" t="str">
        <f>IFERROR(__xludf.DUMMYFUNCTION("""COMPUTED_VALUE"""),"Türkiye")</f>
        <v>Türkiye</v>
      </c>
      <c r="G768" s="5" t="str">
        <f>IFERROR(__xludf.DUMMYFUNCTION("""COMPUTED_VALUE"""),"Sunflower oil")</f>
        <v>Sunflower oil</v>
      </c>
      <c r="H768" s="6">
        <f>IFERROR(__xludf.DUMMYFUNCTION("""COMPUTED_VALUE"""),7250.0)</f>
        <v>7250</v>
      </c>
      <c r="I768" s="7">
        <f>IFERROR(__xludf.DUMMYFUNCTION("""COMPUTED_VALUE"""),44849.0)</f>
        <v>44849</v>
      </c>
      <c r="J768" s="7">
        <f>IFERROR(__xludf.DUMMYFUNCTION("""COMPUTED_VALUE"""),44864.0)</f>
        <v>44864</v>
      </c>
      <c r="K768" s="5" t="str">
        <f>IFERROR(__xludf.DUMMYFUNCTION("""COMPUTED_VALUE"""),"upper-middle-income")</f>
        <v>upper-middle-income</v>
      </c>
      <c r="L768" s="5" t="str">
        <f>IFERROR(__xludf.DUMMYFUNCTION("""COMPUTED_VALUE"""),"Panama")</f>
        <v>Panama</v>
      </c>
      <c r="M768" s="5" t="str">
        <f>IFERROR(__xludf.DUMMYFUNCTION("""COMPUTED_VALUE"""),"Europe &amp; Central Asia")</f>
        <v>Europe &amp; Central Asia</v>
      </c>
      <c r="N768" s="5" t="str">
        <f>IFERROR(__xludf.DUMMYFUNCTION("""COMPUTED_VALUE"""),"Asia-Pacific")</f>
        <v>Asia-Pacific</v>
      </c>
      <c r="O768" s="5" t="str">
        <f>IFERROR(__xludf.DUMMYFUNCTION("""COMPUTED_VALUE"""),"developing")</f>
        <v>developing</v>
      </c>
      <c r="P768" s="5"/>
      <c r="Q768" s="5"/>
    </row>
    <row r="769">
      <c r="A769" s="5" t="str">
        <f>IFERROR(__xludf.DUMMYFUNCTION("""COMPUTED_VALUE"""),"Outbound")</f>
        <v>Outbound</v>
      </c>
      <c r="B769" s="5">
        <f>IFERROR(__xludf.DUMMYFUNCTION("""COMPUTED_VALUE"""),337.0)</f>
        <v>337</v>
      </c>
      <c r="C769" s="5" t="str">
        <f>IFERROR(__xludf.DUMMYFUNCTION("""COMPUTED_VALUE"""),"GOLDEN SHARK")</f>
        <v>GOLDEN SHARK</v>
      </c>
      <c r="D769" s="5">
        <f>IFERROR(__xludf.DUMMYFUNCTION("""COMPUTED_VALUE"""),9151383.0)</f>
        <v>9151383</v>
      </c>
      <c r="E769" s="5" t="str">
        <f>IFERROR(__xludf.DUMMYFUNCTION("""COMPUTED_VALUE"""),"Odesa")</f>
        <v>Odesa</v>
      </c>
      <c r="F769" s="5" t="str">
        <f>IFERROR(__xludf.DUMMYFUNCTION("""COMPUTED_VALUE"""),"Türkiye")</f>
        <v>Türkiye</v>
      </c>
      <c r="G769" s="5" t="str">
        <f>IFERROR(__xludf.DUMMYFUNCTION("""COMPUTED_VALUE"""),"Barley")</f>
        <v>Barley</v>
      </c>
      <c r="H769" s="6">
        <f>IFERROR(__xludf.DUMMYFUNCTION("""COMPUTED_VALUE"""),15800.0)</f>
        <v>15800</v>
      </c>
      <c r="I769" s="7">
        <f>IFERROR(__xludf.DUMMYFUNCTION("""COMPUTED_VALUE"""),44849.0)</f>
        <v>44849</v>
      </c>
      <c r="J769" s="7">
        <f>IFERROR(__xludf.DUMMYFUNCTION("""COMPUTED_VALUE"""),44891.0)</f>
        <v>44891</v>
      </c>
      <c r="K769" s="5" t="str">
        <f>IFERROR(__xludf.DUMMYFUNCTION("""COMPUTED_VALUE"""),"upper-middle-income")</f>
        <v>upper-middle-income</v>
      </c>
      <c r="L769" s="5" t="str">
        <f>IFERROR(__xludf.DUMMYFUNCTION("""COMPUTED_VALUE"""),"Palau")</f>
        <v>Palau</v>
      </c>
      <c r="M769" s="5" t="str">
        <f>IFERROR(__xludf.DUMMYFUNCTION("""COMPUTED_VALUE"""),"Europe &amp; Central Asia")</f>
        <v>Europe &amp; Central Asia</v>
      </c>
      <c r="N769" s="5" t="str">
        <f>IFERROR(__xludf.DUMMYFUNCTION("""COMPUTED_VALUE"""),"Asia-Pacific")</f>
        <v>Asia-Pacific</v>
      </c>
      <c r="O769" s="5" t="str">
        <f>IFERROR(__xludf.DUMMYFUNCTION("""COMPUTED_VALUE"""),"developing")</f>
        <v>developing</v>
      </c>
      <c r="P769" s="5"/>
      <c r="Q769" s="5"/>
    </row>
    <row r="770">
      <c r="A770" s="5" t="str">
        <f>IFERROR(__xludf.DUMMYFUNCTION("""COMPUTED_VALUE"""),"Outbound")</f>
        <v>Outbound</v>
      </c>
      <c r="B770" s="5">
        <f>IFERROR(__xludf.DUMMYFUNCTION("""COMPUTED_VALUE"""),336.0)</f>
        <v>336</v>
      </c>
      <c r="C770" s="5" t="str">
        <f>IFERROR(__xludf.DUMMYFUNCTION("""COMPUTED_VALUE"""),"BEATRICE")</f>
        <v>BEATRICE</v>
      </c>
      <c r="D770" s="5">
        <f>IFERROR(__xludf.DUMMYFUNCTION("""COMPUTED_VALUE"""),9430818.0)</f>
        <v>9430818</v>
      </c>
      <c r="E770" s="5" t="str">
        <f>IFERROR(__xludf.DUMMYFUNCTION("""COMPUTED_VALUE"""),"Yuzhny/Pivdennyi")</f>
        <v>Yuzhny/Pivdennyi</v>
      </c>
      <c r="F770" s="5" t="str">
        <f>IFERROR(__xludf.DUMMYFUNCTION("""COMPUTED_VALUE"""),"Belgium")</f>
        <v>Belgium</v>
      </c>
      <c r="G770" s="5" t="str">
        <f>IFERROR(__xludf.DUMMYFUNCTION("""COMPUTED_VALUE"""),"Corn")</f>
        <v>Corn</v>
      </c>
      <c r="H770" s="6">
        <f>IFERROR(__xludf.DUMMYFUNCTION("""COMPUTED_VALUE"""),35000.0)</f>
        <v>35000</v>
      </c>
      <c r="I770" s="7">
        <f>IFERROR(__xludf.DUMMYFUNCTION("""COMPUTED_VALUE"""),44849.0)</f>
        <v>44849</v>
      </c>
      <c r="J770" s="7">
        <f>IFERROR(__xludf.DUMMYFUNCTION("""COMPUTED_VALUE"""),44865.0)</f>
        <v>44865</v>
      </c>
      <c r="K770" s="5" t="str">
        <f>IFERROR(__xludf.DUMMYFUNCTION("""COMPUTED_VALUE"""),"high-income")</f>
        <v>high-income</v>
      </c>
      <c r="L770" s="5" t="str">
        <f>IFERROR(__xludf.DUMMYFUNCTION("""COMPUTED_VALUE"""),"Marshall Islands")</f>
        <v>Marshall Islands</v>
      </c>
      <c r="M770" s="5" t="str">
        <f>IFERROR(__xludf.DUMMYFUNCTION("""COMPUTED_VALUE"""),"Europe &amp; Central Asia")</f>
        <v>Europe &amp; Central Asia</v>
      </c>
      <c r="N770" s="5" t="str">
        <f>IFERROR(__xludf.DUMMYFUNCTION("""COMPUTED_VALUE"""),"Western Europe and Others")</f>
        <v>Western Europe and Others</v>
      </c>
      <c r="O770" s="5" t="str">
        <f>IFERROR(__xludf.DUMMYFUNCTION("""COMPUTED_VALUE"""),"developed")</f>
        <v>developed</v>
      </c>
      <c r="P770" s="5"/>
      <c r="Q770" s="5"/>
    </row>
    <row r="771">
      <c r="A771" s="5" t="str">
        <f>IFERROR(__xludf.DUMMYFUNCTION("""COMPUTED_VALUE"""),"Outbound")</f>
        <v>Outbound</v>
      </c>
      <c r="B771" s="5">
        <f>IFERROR(__xludf.DUMMYFUNCTION("""COMPUTED_VALUE"""),335.0)</f>
        <v>335</v>
      </c>
      <c r="C771" s="5" t="str">
        <f>IFERROR(__xludf.DUMMYFUNCTION("""COMPUTED_VALUE"""),"BARON")</f>
        <v>BARON</v>
      </c>
      <c r="D771" s="5">
        <f>IFERROR(__xludf.DUMMYFUNCTION("""COMPUTED_VALUE"""),9394210.0)</f>
        <v>9394210</v>
      </c>
      <c r="E771" s="5" t="str">
        <f>IFERROR(__xludf.DUMMYFUNCTION("""COMPUTED_VALUE"""),"Yuzhny/Pivdennyi")</f>
        <v>Yuzhny/Pivdennyi</v>
      </c>
      <c r="F771" s="5" t="str">
        <f>IFERROR(__xludf.DUMMYFUNCTION("""COMPUTED_VALUE"""),"Greece")</f>
        <v>Greece</v>
      </c>
      <c r="G771" s="5" t="str">
        <f>IFERROR(__xludf.DUMMYFUNCTION("""COMPUTED_VALUE"""),"Wheat")</f>
        <v>Wheat</v>
      </c>
      <c r="H771" s="6">
        <f>IFERROR(__xludf.DUMMYFUNCTION("""COMPUTED_VALUE"""),5000.0)</f>
        <v>5000</v>
      </c>
      <c r="I771" s="7">
        <f>IFERROR(__xludf.DUMMYFUNCTION("""COMPUTED_VALUE"""),44849.0)</f>
        <v>44849</v>
      </c>
      <c r="J771" s="7">
        <f>IFERROR(__xludf.DUMMYFUNCTION("""COMPUTED_VALUE"""),44866.0)</f>
        <v>44866</v>
      </c>
      <c r="K771" s="5" t="str">
        <f>IFERROR(__xludf.DUMMYFUNCTION("""COMPUTED_VALUE"""),"high-income")</f>
        <v>high-income</v>
      </c>
      <c r="L771" s="5" t="str">
        <f>IFERROR(__xludf.DUMMYFUNCTION("""COMPUTED_VALUE"""),"Türkiye")</f>
        <v>Türkiye</v>
      </c>
      <c r="M771" s="5" t="str">
        <f>IFERROR(__xludf.DUMMYFUNCTION("""COMPUTED_VALUE"""),"Europe &amp; Central Asia")</f>
        <v>Europe &amp; Central Asia</v>
      </c>
      <c r="N771" s="5" t="str">
        <f>IFERROR(__xludf.DUMMYFUNCTION("""COMPUTED_VALUE"""),"Western Europe and Others")</f>
        <v>Western Europe and Others</v>
      </c>
      <c r="O771" s="5" t="str">
        <f>IFERROR(__xludf.DUMMYFUNCTION("""COMPUTED_VALUE"""),"developed")</f>
        <v>developed</v>
      </c>
      <c r="P771" s="5"/>
      <c r="Q771" s="5"/>
    </row>
    <row r="772">
      <c r="A772" s="5" t="str">
        <f>IFERROR(__xludf.DUMMYFUNCTION("""COMPUTED_VALUE"""),"Outbound")</f>
        <v>Outbound</v>
      </c>
      <c r="B772" s="5">
        <f>IFERROR(__xludf.DUMMYFUNCTION("""COMPUTED_VALUE"""),334.0)</f>
        <v>334</v>
      </c>
      <c r="C772" s="5" t="str">
        <f>IFERROR(__xludf.DUMMYFUNCTION("""COMPUTED_VALUE"""),"SUPER ARSENAL")</f>
        <v>SUPER ARSENAL</v>
      </c>
      <c r="D772" s="5">
        <f>IFERROR(__xludf.DUMMYFUNCTION("""COMPUTED_VALUE"""),9316933.0)</f>
        <v>9316933</v>
      </c>
      <c r="E772" s="5" t="str">
        <f>IFERROR(__xludf.DUMMYFUNCTION("""COMPUTED_VALUE"""),"Odesa")</f>
        <v>Odesa</v>
      </c>
      <c r="F772" s="5" t="str">
        <f>IFERROR(__xludf.DUMMYFUNCTION("""COMPUTED_VALUE"""),"Tunisia")</f>
        <v>Tunisia</v>
      </c>
      <c r="G772" s="5" t="str">
        <f>IFERROR(__xludf.DUMMYFUNCTION("""COMPUTED_VALUE"""),"Wheat")</f>
        <v>Wheat</v>
      </c>
      <c r="H772" s="6">
        <f>IFERROR(__xludf.DUMMYFUNCTION("""COMPUTED_VALUE"""),27500.0)</f>
        <v>27500</v>
      </c>
      <c r="I772" s="7">
        <f>IFERROR(__xludf.DUMMYFUNCTION("""COMPUTED_VALUE"""),44848.0)</f>
        <v>44848</v>
      </c>
      <c r="J772" s="7">
        <f>IFERROR(__xludf.DUMMYFUNCTION("""COMPUTED_VALUE"""),44864.0)</f>
        <v>44864</v>
      </c>
      <c r="K772" s="5" t="str">
        <f>IFERROR(__xludf.DUMMYFUNCTION("""COMPUTED_VALUE"""),"lower-middle income")</f>
        <v>lower-middle income</v>
      </c>
      <c r="L772" s="5" t="str">
        <f>IFERROR(__xludf.DUMMYFUNCTION("""COMPUTED_VALUE"""),"St. Vincent and the Grenadines")</f>
        <v>St. Vincent and the Grenadines</v>
      </c>
      <c r="M772" s="5" t="str">
        <f>IFERROR(__xludf.DUMMYFUNCTION("""COMPUTED_VALUE"""),"Middle East &amp; North Africa")</f>
        <v>Middle East &amp; North Africa</v>
      </c>
      <c r="N772" s="5" t="str">
        <f>IFERROR(__xludf.DUMMYFUNCTION("""COMPUTED_VALUE"""),"Africa")</f>
        <v>Africa</v>
      </c>
      <c r="O772" s="5" t="str">
        <f>IFERROR(__xludf.DUMMYFUNCTION("""COMPUTED_VALUE"""),"developing")</f>
        <v>developing</v>
      </c>
      <c r="P772" s="5"/>
      <c r="Q772" s="5"/>
    </row>
    <row r="773">
      <c r="A773" s="5" t="str">
        <f>IFERROR(__xludf.DUMMYFUNCTION("""COMPUTED_VALUE"""),"Outbound")</f>
        <v>Outbound</v>
      </c>
      <c r="B773" s="5">
        <f>IFERROR(__xludf.DUMMYFUNCTION("""COMPUTED_VALUE"""),333.0)</f>
        <v>333</v>
      </c>
      <c r="C773" s="5" t="str">
        <f>IFERROR(__xludf.DUMMYFUNCTION("""COMPUTED_VALUE"""),"SEA LUCK")</f>
        <v>SEA LUCK</v>
      </c>
      <c r="D773" s="5">
        <f>IFERROR(__xludf.DUMMYFUNCTION("""COMPUTED_VALUE"""),9194464.0)</f>
        <v>9194464</v>
      </c>
      <c r="E773" s="5" t="str">
        <f>IFERROR(__xludf.DUMMYFUNCTION("""COMPUTED_VALUE"""),"Chornomorsk")</f>
        <v>Chornomorsk</v>
      </c>
      <c r="F773" s="5" t="str">
        <f>IFERROR(__xludf.DUMMYFUNCTION("""COMPUTED_VALUE"""),"Algeria")</f>
        <v>Algeria</v>
      </c>
      <c r="G773" s="5" t="str">
        <f>IFERROR(__xludf.DUMMYFUNCTION("""COMPUTED_VALUE"""),"Wheat")</f>
        <v>Wheat</v>
      </c>
      <c r="H773" s="6">
        <f>IFERROR(__xludf.DUMMYFUNCTION("""COMPUTED_VALUE"""),13500.0)</f>
        <v>13500</v>
      </c>
      <c r="I773" s="7">
        <f>IFERROR(__xludf.DUMMYFUNCTION("""COMPUTED_VALUE"""),44848.0)</f>
        <v>44848</v>
      </c>
      <c r="J773" s="7">
        <f>IFERROR(__xludf.DUMMYFUNCTION("""COMPUTED_VALUE"""),44866.0)</f>
        <v>44866</v>
      </c>
      <c r="K773" s="5" t="str">
        <f>IFERROR(__xludf.DUMMYFUNCTION("""COMPUTED_VALUE"""),"lower-middle income")</f>
        <v>lower-middle income</v>
      </c>
      <c r="L773" s="5" t="str">
        <f>IFERROR(__xludf.DUMMYFUNCTION("""COMPUTED_VALUE"""),"Panama")</f>
        <v>Panama</v>
      </c>
      <c r="M773" s="5" t="str">
        <f>IFERROR(__xludf.DUMMYFUNCTION("""COMPUTED_VALUE"""),"Middle East &amp; North Africa")</f>
        <v>Middle East &amp; North Africa</v>
      </c>
      <c r="N773" s="5" t="str">
        <f>IFERROR(__xludf.DUMMYFUNCTION("""COMPUTED_VALUE"""),"Africa")</f>
        <v>Africa</v>
      </c>
      <c r="O773" s="5" t="str">
        <f>IFERROR(__xludf.DUMMYFUNCTION("""COMPUTED_VALUE"""),"developing")</f>
        <v>developing</v>
      </c>
      <c r="P773" s="5"/>
      <c r="Q773" s="5" t="str">
        <f>IFERROR(__xludf.DUMMYFUNCTION("""COMPUTED_VALUE"""),"Stranded")</f>
        <v>Stranded</v>
      </c>
    </row>
    <row r="774">
      <c r="A774" s="5" t="str">
        <f>IFERROR(__xludf.DUMMYFUNCTION("""COMPUTED_VALUE"""),"Outbound")</f>
        <v>Outbound</v>
      </c>
      <c r="B774" s="5">
        <f>IFERROR(__xludf.DUMMYFUNCTION("""COMPUTED_VALUE"""),332.0)</f>
        <v>332</v>
      </c>
      <c r="C774" s="5" t="str">
        <f>IFERROR(__xludf.DUMMYFUNCTION("""COMPUTED_VALUE"""),"SANITA S")</f>
        <v>SANITA S</v>
      </c>
      <c r="D774" s="5">
        <f>IFERROR(__xludf.DUMMYFUNCTION("""COMPUTED_VALUE"""),9237888.0)</f>
        <v>9237888</v>
      </c>
      <c r="E774" s="5" t="str">
        <f>IFERROR(__xludf.DUMMYFUNCTION("""COMPUTED_VALUE"""),"Odesa")</f>
        <v>Odesa</v>
      </c>
      <c r="F774" s="5" t="str">
        <f>IFERROR(__xludf.DUMMYFUNCTION("""COMPUTED_VALUE"""),"Spain")</f>
        <v>Spain</v>
      </c>
      <c r="G774" s="5" t="str">
        <f>IFERROR(__xludf.DUMMYFUNCTION("""COMPUTED_VALUE"""),"Corn")</f>
        <v>Corn</v>
      </c>
      <c r="H774" s="6">
        <f>IFERROR(__xludf.DUMMYFUNCTION("""COMPUTED_VALUE"""),43500.0)</f>
        <v>43500</v>
      </c>
      <c r="I774" s="7">
        <f>IFERROR(__xludf.DUMMYFUNCTION("""COMPUTED_VALUE"""),44848.0)</f>
        <v>44848</v>
      </c>
      <c r="J774" s="7">
        <f>IFERROR(__xludf.DUMMYFUNCTION("""COMPUTED_VALUE"""),44864.0)</f>
        <v>44864</v>
      </c>
      <c r="K774" s="5" t="str">
        <f>IFERROR(__xludf.DUMMYFUNCTION("""COMPUTED_VALUE"""),"high-income")</f>
        <v>high-income</v>
      </c>
      <c r="L774" s="5" t="str">
        <f>IFERROR(__xludf.DUMMYFUNCTION("""COMPUTED_VALUE"""),"Türkiye")</f>
        <v>Türkiye</v>
      </c>
      <c r="M774" s="5" t="str">
        <f>IFERROR(__xludf.DUMMYFUNCTION("""COMPUTED_VALUE"""),"Europe &amp; Central Asia")</f>
        <v>Europe &amp; Central Asia</v>
      </c>
      <c r="N774" s="5" t="str">
        <f>IFERROR(__xludf.DUMMYFUNCTION("""COMPUTED_VALUE"""),"Western Europe and Others")</f>
        <v>Western Europe and Others</v>
      </c>
      <c r="O774" s="5" t="str">
        <f>IFERROR(__xludf.DUMMYFUNCTION("""COMPUTED_VALUE"""),"developed")</f>
        <v>developed</v>
      </c>
      <c r="P774" s="5"/>
      <c r="Q774" s="5"/>
    </row>
    <row r="775">
      <c r="A775" s="5" t="str">
        <f>IFERROR(__xludf.DUMMYFUNCTION("""COMPUTED_VALUE"""),"Outbound")</f>
        <v>Outbound</v>
      </c>
      <c r="B775" s="5">
        <f>IFERROR(__xludf.DUMMYFUNCTION("""COMPUTED_VALUE"""),331.0)</f>
        <v>331</v>
      </c>
      <c r="C775" s="5" t="str">
        <f>IFERROR(__xludf.DUMMYFUNCTION("""COMPUTED_VALUE"""),"YAF S")</f>
        <v>YAF S</v>
      </c>
      <c r="D775" s="5">
        <f>IFERROR(__xludf.DUMMYFUNCTION("""COMPUTED_VALUE"""),9437787.0)</f>
        <v>9437787</v>
      </c>
      <c r="E775" s="5" t="str">
        <f>IFERROR(__xludf.DUMMYFUNCTION("""COMPUTED_VALUE"""),"Chornomorsk")</f>
        <v>Chornomorsk</v>
      </c>
      <c r="F775" s="5" t="str">
        <f>IFERROR(__xludf.DUMMYFUNCTION("""COMPUTED_VALUE"""),"Türkiye")</f>
        <v>Türkiye</v>
      </c>
      <c r="G775" s="5" t="str">
        <f>IFERROR(__xludf.DUMMYFUNCTION("""COMPUTED_VALUE"""),"Wheat")</f>
        <v>Wheat</v>
      </c>
      <c r="H775" s="6">
        <f>IFERROR(__xludf.DUMMYFUNCTION("""COMPUTED_VALUE"""),5828.0)</f>
        <v>5828</v>
      </c>
      <c r="I775" s="7">
        <f>IFERROR(__xludf.DUMMYFUNCTION("""COMPUTED_VALUE"""),44847.0)</f>
        <v>44847</v>
      </c>
      <c r="J775" s="7">
        <f>IFERROR(__xludf.DUMMYFUNCTION("""COMPUTED_VALUE"""),44864.0)</f>
        <v>44864</v>
      </c>
      <c r="K775" s="5" t="str">
        <f>IFERROR(__xludf.DUMMYFUNCTION("""COMPUTED_VALUE"""),"upper-middle-income")</f>
        <v>upper-middle-income</v>
      </c>
      <c r="L775" s="5" t="str">
        <f>IFERROR(__xludf.DUMMYFUNCTION("""COMPUTED_VALUE"""),"Panama")</f>
        <v>Panama</v>
      </c>
      <c r="M775" s="5" t="str">
        <f>IFERROR(__xludf.DUMMYFUNCTION("""COMPUTED_VALUE"""),"Europe &amp; Central Asia")</f>
        <v>Europe &amp; Central Asia</v>
      </c>
      <c r="N775" s="5" t="str">
        <f>IFERROR(__xludf.DUMMYFUNCTION("""COMPUTED_VALUE"""),"Asia-Pacific")</f>
        <v>Asia-Pacific</v>
      </c>
      <c r="O775" s="5" t="str">
        <f>IFERROR(__xludf.DUMMYFUNCTION("""COMPUTED_VALUE"""),"developing")</f>
        <v>developing</v>
      </c>
      <c r="P775" s="5"/>
      <c r="Q775" s="5"/>
    </row>
    <row r="776">
      <c r="A776" s="5" t="str">
        <f>IFERROR(__xludf.DUMMYFUNCTION("""COMPUTED_VALUE"""),"Outbound")</f>
        <v>Outbound</v>
      </c>
      <c r="B776" s="5">
        <f>IFERROR(__xludf.DUMMYFUNCTION("""COMPUTED_VALUE"""),330.0)</f>
        <v>330</v>
      </c>
      <c r="C776" s="5" t="str">
        <f>IFERROR(__xludf.DUMMYFUNCTION("""COMPUTED_VALUE"""),"WEI HE")</f>
        <v>WEI HE</v>
      </c>
      <c r="D776" s="5">
        <f>IFERROR(__xludf.DUMMYFUNCTION("""COMPUTED_VALUE"""),9601091.0)</f>
        <v>9601091</v>
      </c>
      <c r="E776" s="5" t="str">
        <f>IFERROR(__xludf.DUMMYFUNCTION("""COMPUTED_VALUE"""),"Chornomorsk")</f>
        <v>Chornomorsk</v>
      </c>
      <c r="F776" s="5" t="str">
        <f>IFERROR(__xludf.DUMMYFUNCTION("""COMPUTED_VALUE"""),"China")</f>
        <v>China</v>
      </c>
      <c r="G776" s="5" t="str">
        <f>IFERROR(__xludf.DUMMYFUNCTION("""COMPUTED_VALUE"""),"Sunflower meal")</f>
        <v>Sunflower meal</v>
      </c>
      <c r="H776" s="6">
        <f>IFERROR(__xludf.DUMMYFUNCTION("""COMPUTED_VALUE"""),62860.0)</f>
        <v>62860</v>
      </c>
      <c r="I776" s="7">
        <f>IFERROR(__xludf.DUMMYFUNCTION("""COMPUTED_VALUE"""),44847.0)</f>
        <v>44847</v>
      </c>
      <c r="J776" s="7">
        <f>IFERROR(__xludf.DUMMYFUNCTION("""COMPUTED_VALUE"""),44861.0)</f>
        <v>44861</v>
      </c>
      <c r="K776" s="5" t="str">
        <f>IFERROR(__xludf.DUMMYFUNCTION("""COMPUTED_VALUE"""),"upper-middle-income")</f>
        <v>upper-middle-income</v>
      </c>
      <c r="L776" s="5" t="str">
        <f>IFERROR(__xludf.DUMMYFUNCTION("""COMPUTED_VALUE"""),"Hong Kong")</f>
        <v>Hong Kong</v>
      </c>
      <c r="M776" s="5" t="str">
        <f>IFERROR(__xludf.DUMMYFUNCTION("""COMPUTED_VALUE"""),"East Asia &amp; Pacific")</f>
        <v>East Asia &amp; Pacific</v>
      </c>
      <c r="N776" s="5" t="str">
        <f>IFERROR(__xludf.DUMMYFUNCTION("""COMPUTED_VALUE"""),"Asia-Pacific")</f>
        <v>Asia-Pacific</v>
      </c>
      <c r="O776" s="5" t="str">
        <f>IFERROR(__xludf.DUMMYFUNCTION("""COMPUTED_VALUE"""),"developing")</f>
        <v>developing</v>
      </c>
      <c r="P776" s="5"/>
      <c r="Q776" s="5"/>
    </row>
    <row r="777">
      <c r="A777" s="5" t="str">
        <f>IFERROR(__xludf.DUMMYFUNCTION("""COMPUTED_VALUE"""),"Outbound")</f>
        <v>Outbound</v>
      </c>
      <c r="B777" s="5">
        <f>IFERROR(__xludf.DUMMYFUNCTION("""COMPUTED_VALUE"""),329.0)</f>
        <v>329</v>
      </c>
      <c r="C777" s="5" t="str">
        <f>IFERROR(__xludf.DUMMYFUNCTION("""COMPUTED_VALUE"""),"MARLEN")</f>
        <v>MARLEN</v>
      </c>
      <c r="D777" s="5">
        <f>IFERROR(__xludf.DUMMYFUNCTION("""COMPUTED_VALUE"""),9430179.0)</f>
        <v>9430179</v>
      </c>
      <c r="E777" s="5" t="str">
        <f>IFERROR(__xludf.DUMMYFUNCTION("""COMPUTED_VALUE"""),"Yuzhny/Pivdennyi")</f>
        <v>Yuzhny/Pivdennyi</v>
      </c>
      <c r="F777" s="5" t="str">
        <f>IFERROR(__xludf.DUMMYFUNCTION("""COMPUTED_VALUE"""),"Iraq")</f>
        <v>Iraq</v>
      </c>
      <c r="G777" s="5" t="str">
        <f>IFERROR(__xludf.DUMMYFUNCTION("""COMPUTED_VALUE"""),"Sunflower oil")</f>
        <v>Sunflower oil</v>
      </c>
      <c r="H777" s="6">
        <f>IFERROR(__xludf.DUMMYFUNCTION("""COMPUTED_VALUE"""),33000.0)</f>
        <v>33000</v>
      </c>
      <c r="I777" s="7">
        <f>IFERROR(__xludf.DUMMYFUNCTION("""COMPUTED_VALUE"""),44847.0)</f>
        <v>44847</v>
      </c>
      <c r="J777" s="7">
        <f>IFERROR(__xludf.DUMMYFUNCTION("""COMPUTED_VALUE"""),44861.0)</f>
        <v>44861</v>
      </c>
      <c r="K777" s="5" t="str">
        <f>IFERROR(__xludf.DUMMYFUNCTION("""COMPUTED_VALUE"""),"upper-middle-income")</f>
        <v>upper-middle-income</v>
      </c>
      <c r="L777" s="5" t="str">
        <f>IFERROR(__xludf.DUMMYFUNCTION("""COMPUTED_VALUE"""),"Liberia")</f>
        <v>Liberia</v>
      </c>
      <c r="M777" s="5" t="str">
        <f>IFERROR(__xludf.DUMMYFUNCTION("""COMPUTED_VALUE"""),"Middle East &amp; North Africa")</f>
        <v>Middle East &amp; North Africa</v>
      </c>
      <c r="N777" s="5" t="str">
        <f>IFERROR(__xludf.DUMMYFUNCTION("""COMPUTED_VALUE"""),"Asia-Pacific")</f>
        <v>Asia-Pacific</v>
      </c>
      <c r="O777" s="5" t="str">
        <f>IFERROR(__xludf.DUMMYFUNCTION("""COMPUTED_VALUE"""),"developing")</f>
        <v>developing</v>
      </c>
      <c r="P777" s="5"/>
      <c r="Q777" s="5"/>
    </row>
    <row r="778">
      <c r="A778" s="5" t="str">
        <f>IFERROR(__xludf.DUMMYFUNCTION("""COMPUTED_VALUE"""),"Outbound")</f>
        <v>Outbound</v>
      </c>
      <c r="B778" s="5">
        <f>IFERROR(__xludf.DUMMYFUNCTION("""COMPUTED_VALUE"""),328.0)</f>
        <v>328</v>
      </c>
      <c r="C778" s="5" t="str">
        <f>IFERROR(__xludf.DUMMYFUNCTION("""COMPUTED_VALUE"""),"IRMGARD")</f>
        <v>IRMGARD</v>
      </c>
      <c r="D778" s="5">
        <f>IFERROR(__xludf.DUMMYFUNCTION("""COMPUTED_VALUE"""),9590967.0)</f>
        <v>9590967</v>
      </c>
      <c r="E778" s="5" t="str">
        <f>IFERROR(__xludf.DUMMYFUNCTION("""COMPUTED_VALUE"""),"Yuzhny/Pivdennyi")</f>
        <v>Yuzhny/Pivdennyi</v>
      </c>
      <c r="F778" s="5" t="str">
        <f>IFERROR(__xludf.DUMMYFUNCTION("""COMPUTED_VALUE"""),"Germany")</f>
        <v>Germany</v>
      </c>
      <c r="G778" s="5" t="str">
        <f>IFERROR(__xludf.DUMMYFUNCTION("""COMPUTED_VALUE"""),"Rapeseed")</f>
        <v>Rapeseed</v>
      </c>
      <c r="H778" s="6">
        <f>IFERROR(__xludf.DUMMYFUNCTION("""COMPUTED_VALUE"""),30817.0)</f>
        <v>30817</v>
      </c>
      <c r="I778" s="7">
        <f>IFERROR(__xludf.DUMMYFUNCTION("""COMPUTED_VALUE"""),44847.0)</f>
        <v>44847</v>
      </c>
      <c r="J778" s="7">
        <f>IFERROR(__xludf.DUMMYFUNCTION("""COMPUTED_VALUE"""),44864.0)</f>
        <v>44864</v>
      </c>
      <c r="K778" s="5" t="str">
        <f>IFERROR(__xludf.DUMMYFUNCTION("""COMPUTED_VALUE"""),"high-income")</f>
        <v>high-income</v>
      </c>
      <c r="L778" s="5" t="str">
        <f>IFERROR(__xludf.DUMMYFUNCTION("""COMPUTED_VALUE"""),"Cayman Islands")</f>
        <v>Cayman Islands</v>
      </c>
      <c r="M778" s="5" t="str">
        <f>IFERROR(__xludf.DUMMYFUNCTION("""COMPUTED_VALUE"""),"Europe &amp; Central Asia")</f>
        <v>Europe &amp; Central Asia</v>
      </c>
      <c r="N778" s="5" t="str">
        <f>IFERROR(__xludf.DUMMYFUNCTION("""COMPUTED_VALUE"""),"Western Europe and Others")</f>
        <v>Western Europe and Others</v>
      </c>
      <c r="O778" s="5" t="str">
        <f>IFERROR(__xludf.DUMMYFUNCTION("""COMPUTED_VALUE"""),"developed")</f>
        <v>developed</v>
      </c>
      <c r="P778" s="5"/>
      <c r="Q778" s="5"/>
    </row>
    <row r="779">
      <c r="A779" s="5" t="str">
        <f>IFERROR(__xludf.DUMMYFUNCTION("""COMPUTED_VALUE"""),"Outbound")</f>
        <v>Outbound</v>
      </c>
      <c r="B779" s="5">
        <f>IFERROR(__xludf.DUMMYFUNCTION("""COMPUTED_VALUE"""),327.0)</f>
        <v>327</v>
      </c>
      <c r="C779" s="5" t="str">
        <f>IFERROR(__xludf.DUMMYFUNCTION("""COMPUTED_VALUE"""),"DIGNITY")</f>
        <v>DIGNITY</v>
      </c>
      <c r="D779" s="5">
        <f>IFERROR(__xludf.DUMMYFUNCTION("""COMPUTED_VALUE"""),9118238.0)</f>
        <v>9118238</v>
      </c>
      <c r="E779" s="5" t="str">
        <f>IFERROR(__xludf.DUMMYFUNCTION("""COMPUTED_VALUE"""),"Odesa")</f>
        <v>Odesa</v>
      </c>
      <c r="F779" s="5" t="str">
        <f>IFERROR(__xludf.DUMMYFUNCTION("""COMPUTED_VALUE"""),"Türkiye")</f>
        <v>Türkiye</v>
      </c>
      <c r="G779" s="5" t="str">
        <f>IFERROR(__xludf.DUMMYFUNCTION("""COMPUTED_VALUE"""),"Corn")</f>
        <v>Corn</v>
      </c>
      <c r="H779" s="6">
        <f>IFERROR(__xludf.DUMMYFUNCTION("""COMPUTED_VALUE"""),14000.0)</f>
        <v>14000</v>
      </c>
      <c r="I779" s="7">
        <f>IFERROR(__xludf.DUMMYFUNCTION("""COMPUTED_VALUE"""),44847.0)</f>
        <v>44847</v>
      </c>
      <c r="J779" s="7">
        <f>IFERROR(__xludf.DUMMYFUNCTION("""COMPUTED_VALUE"""),44865.0)</f>
        <v>44865</v>
      </c>
      <c r="K779" s="5" t="str">
        <f>IFERROR(__xludf.DUMMYFUNCTION("""COMPUTED_VALUE"""),"upper-middle-income")</f>
        <v>upper-middle-income</v>
      </c>
      <c r="L779" s="5" t="str">
        <f>IFERROR(__xludf.DUMMYFUNCTION("""COMPUTED_VALUE"""),"Comoros")</f>
        <v>Comoros</v>
      </c>
      <c r="M779" s="5" t="str">
        <f>IFERROR(__xludf.DUMMYFUNCTION("""COMPUTED_VALUE"""),"Europe &amp; Central Asia")</f>
        <v>Europe &amp; Central Asia</v>
      </c>
      <c r="N779" s="5" t="str">
        <f>IFERROR(__xludf.DUMMYFUNCTION("""COMPUTED_VALUE"""),"Asia-Pacific")</f>
        <v>Asia-Pacific</v>
      </c>
      <c r="O779" s="5" t="str">
        <f>IFERROR(__xludf.DUMMYFUNCTION("""COMPUTED_VALUE"""),"developing")</f>
        <v>developing</v>
      </c>
      <c r="P779" s="5"/>
      <c r="Q779" s="5"/>
    </row>
    <row r="780">
      <c r="A780" s="5" t="str">
        <f>IFERROR(__xludf.DUMMYFUNCTION("""COMPUTED_VALUE"""),"Outbound")</f>
        <v>Outbound</v>
      </c>
      <c r="B780" s="5">
        <f>IFERROR(__xludf.DUMMYFUNCTION("""COMPUTED_VALUE"""),326.0)</f>
        <v>326</v>
      </c>
      <c r="C780" s="5" t="str">
        <f>IFERROR(__xludf.DUMMYFUNCTION("""COMPUTED_VALUE"""),"AK HAMZA")</f>
        <v>AK HAMZA</v>
      </c>
      <c r="D780" s="5">
        <f>IFERROR(__xludf.DUMMYFUNCTION("""COMPUTED_VALUE"""),9338125.0)</f>
        <v>9338125</v>
      </c>
      <c r="E780" s="5" t="str">
        <f>IFERROR(__xludf.DUMMYFUNCTION("""COMPUTED_VALUE"""),"Yuzhny/Pivdennyi")</f>
        <v>Yuzhny/Pivdennyi</v>
      </c>
      <c r="F780" s="5" t="str">
        <f>IFERROR(__xludf.DUMMYFUNCTION("""COMPUTED_VALUE"""),"Lebanon")</f>
        <v>Lebanon</v>
      </c>
      <c r="G780" s="5" t="str">
        <f>IFERROR(__xludf.DUMMYFUNCTION("""COMPUTED_VALUE"""),"Corn")</f>
        <v>Corn</v>
      </c>
      <c r="H780" s="6">
        <f>IFERROR(__xludf.DUMMYFUNCTION("""COMPUTED_VALUE"""),7000.0)</f>
        <v>7000</v>
      </c>
      <c r="I780" s="7">
        <f>IFERROR(__xludf.DUMMYFUNCTION("""COMPUTED_VALUE"""),44847.0)</f>
        <v>44847</v>
      </c>
      <c r="J780" s="7">
        <f>IFERROR(__xludf.DUMMYFUNCTION("""COMPUTED_VALUE"""),44861.0)</f>
        <v>44861</v>
      </c>
      <c r="K780" s="5" t="str">
        <f>IFERROR(__xludf.DUMMYFUNCTION("""COMPUTED_VALUE"""),"lower-middle income")</f>
        <v>lower-middle income</v>
      </c>
      <c r="L780" s="5" t="str">
        <f>IFERROR(__xludf.DUMMYFUNCTION("""COMPUTED_VALUE"""),"Panama")</f>
        <v>Panama</v>
      </c>
      <c r="M780" s="5" t="str">
        <f>IFERROR(__xludf.DUMMYFUNCTION("""COMPUTED_VALUE"""),"Middle East &amp; North Africa")</f>
        <v>Middle East &amp; North Africa</v>
      </c>
      <c r="N780" s="5" t="str">
        <f>IFERROR(__xludf.DUMMYFUNCTION("""COMPUTED_VALUE"""),"Asia-Pacific")</f>
        <v>Asia-Pacific</v>
      </c>
      <c r="O780" s="5" t="str">
        <f>IFERROR(__xludf.DUMMYFUNCTION("""COMPUTED_VALUE"""),"developing")</f>
        <v>developing</v>
      </c>
      <c r="P780" s="5"/>
      <c r="Q780" s="5"/>
    </row>
    <row r="781">
      <c r="A781" s="5" t="str">
        <f>IFERROR(__xludf.DUMMYFUNCTION("""COMPUTED_VALUE"""),"Outbound")</f>
        <v>Outbound</v>
      </c>
      <c r="B781" s="5">
        <f>IFERROR(__xludf.DUMMYFUNCTION("""COMPUTED_VALUE"""),325.0)</f>
        <v>325</v>
      </c>
      <c r="C781" s="5" t="str">
        <f>IFERROR(__xludf.DUMMYFUNCTION("""COMPUTED_VALUE"""),"SIMAS")</f>
        <v>SIMAS</v>
      </c>
      <c r="D781" s="5">
        <f>IFERROR(__xludf.DUMMYFUNCTION("""COMPUTED_VALUE"""),9000314.0)</f>
        <v>9000314</v>
      </c>
      <c r="E781" s="5" t="str">
        <f>IFERROR(__xludf.DUMMYFUNCTION("""COMPUTED_VALUE"""),"Chornomorsk")</f>
        <v>Chornomorsk</v>
      </c>
      <c r="F781" s="5" t="str">
        <f>IFERROR(__xludf.DUMMYFUNCTION("""COMPUTED_VALUE"""),"Lebanon")</f>
        <v>Lebanon</v>
      </c>
      <c r="G781" s="5" t="str">
        <f>IFERROR(__xludf.DUMMYFUNCTION("""COMPUTED_VALUE"""),"Corn")</f>
        <v>Corn</v>
      </c>
      <c r="H781" s="6">
        <f>IFERROR(__xludf.DUMMYFUNCTION("""COMPUTED_VALUE"""),13400.0)</f>
        <v>13400</v>
      </c>
      <c r="I781" s="7">
        <f>IFERROR(__xludf.DUMMYFUNCTION("""COMPUTED_VALUE"""),44846.0)</f>
        <v>44846</v>
      </c>
      <c r="J781" s="7">
        <f>IFERROR(__xludf.DUMMYFUNCTION("""COMPUTED_VALUE"""),44865.0)</f>
        <v>44865</v>
      </c>
      <c r="K781" s="5" t="str">
        <f>IFERROR(__xludf.DUMMYFUNCTION("""COMPUTED_VALUE"""),"lower-middle income")</f>
        <v>lower-middle income</v>
      </c>
      <c r="L781" s="5" t="str">
        <f>IFERROR(__xludf.DUMMYFUNCTION("""COMPUTED_VALUE"""),"Türkiye")</f>
        <v>Türkiye</v>
      </c>
      <c r="M781" s="5" t="str">
        <f>IFERROR(__xludf.DUMMYFUNCTION("""COMPUTED_VALUE"""),"Middle East &amp; North Africa")</f>
        <v>Middle East &amp; North Africa</v>
      </c>
      <c r="N781" s="5" t="str">
        <f>IFERROR(__xludf.DUMMYFUNCTION("""COMPUTED_VALUE"""),"Asia-Pacific")</f>
        <v>Asia-Pacific</v>
      </c>
      <c r="O781" s="5" t="str">
        <f>IFERROR(__xludf.DUMMYFUNCTION("""COMPUTED_VALUE"""),"developing")</f>
        <v>developing</v>
      </c>
      <c r="P781" s="5"/>
      <c r="Q781" s="5"/>
    </row>
    <row r="782">
      <c r="A782" s="5" t="str">
        <f>IFERROR(__xludf.DUMMYFUNCTION("""COMPUTED_VALUE"""),"Outbound")</f>
        <v>Outbound</v>
      </c>
      <c r="B782" s="5">
        <f>IFERROR(__xludf.DUMMYFUNCTION("""COMPUTED_VALUE"""),324.0)</f>
        <v>324</v>
      </c>
      <c r="C782" s="5" t="str">
        <f>IFERROR(__xludf.DUMMYFUNCTION("""COMPUTED_VALUE"""),"LUGANO")</f>
        <v>LUGANO</v>
      </c>
      <c r="D782" s="5">
        <f>IFERROR(__xludf.DUMMYFUNCTION("""COMPUTED_VALUE"""),9132662.0)</f>
        <v>9132662</v>
      </c>
      <c r="E782" s="5" t="str">
        <f>IFERROR(__xludf.DUMMYFUNCTION("""COMPUTED_VALUE"""),"Chornomorsk")</f>
        <v>Chornomorsk</v>
      </c>
      <c r="F782" s="5" t="str">
        <f>IFERROR(__xludf.DUMMYFUNCTION("""COMPUTED_VALUE"""),"Spain")</f>
        <v>Spain</v>
      </c>
      <c r="G782" s="5" t="str">
        <f>IFERROR(__xludf.DUMMYFUNCTION("""COMPUTED_VALUE"""),"Corn")</f>
        <v>Corn</v>
      </c>
      <c r="H782" s="6">
        <f>IFERROR(__xludf.DUMMYFUNCTION("""COMPUTED_VALUE"""),27100.0)</f>
        <v>27100</v>
      </c>
      <c r="I782" s="7">
        <f>IFERROR(__xludf.DUMMYFUNCTION("""COMPUTED_VALUE"""),44846.0)</f>
        <v>44846</v>
      </c>
      <c r="J782" s="7">
        <f>IFERROR(__xludf.DUMMYFUNCTION("""COMPUTED_VALUE"""),44860.0)</f>
        <v>44860</v>
      </c>
      <c r="K782" s="5" t="str">
        <f>IFERROR(__xludf.DUMMYFUNCTION("""COMPUTED_VALUE"""),"high-income")</f>
        <v>high-income</v>
      </c>
      <c r="L782" s="5" t="str">
        <f>IFERROR(__xludf.DUMMYFUNCTION("""COMPUTED_VALUE"""),"Cook Islands")</f>
        <v>Cook Islands</v>
      </c>
      <c r="M782" s="5" t="str">
        <f>IFERROR(__xludf.DUMMYFUNCTION("""COMPUTED_VALUE"""),"Europe &amp; Central Asia")</f>
        <v>Europe &amp; Central Asia</v>
      </c>
      <c r="N782" s="5" t="str">
        <f>IFERROR(__xludf.DUMMYFUNCTION("""COMPUTED_VALUE"""),"Western Europe and Others")</f>
        <v>Western Europe and Others</v>
      </c>
      <c r="O782" s="5" t="str">
        <f>IFERROR(__xludf.DUMMYFUNCTION("""COMPUTED_VALUE"""),"developed")</f>
        <v>developed</v>
      </c>
      <c r="P782" s="5"/>
      <c r="Q782" s="5"/>
    </row>
    <row r="783">
      <c r="A783" s="5" t="str">
        <f>IFERROR(__xludf.DUMMYFUNCTION("""COMPUTED_VALUE"""),"Outbound")</f>
        <v>Outbound</v>
      </c>
      <c r="B783" s="5">
        <f>IFERROR(__xludf.DUMMYFUNCTION("""COMPUTED_VALUE"""),323.0)</f>
        <v>323</v>
      </c>
      <c r="C783" s="5" t="str">
        <f>IFERROR(__xludf.DUMMYFUNCTION("""COMPUTED_VALUE"""),"LUCKY")</f>
        <v>LUCKY</v>
      </c>
      <c r="D783" s="5">
        <f>IFERROR(__xludf.DUMMYFUNCTION("""COMPUTED_VALUE"""),9037305.0)</f>
        <v>9037305</v>
      </c>
      <c r="E783" s="5" t="str">
        <f>IFERROR(__xludf.DUMMYFUNCTION("""COMPUTED_VALUE"""),"Odesa")</f>
        <v>Odesa</v>
      </c>
      <c r="F783" s="5" t="str">
        <f>IFERROR(__xludf.DUMMYFUNCTION("""COMPUTED_VALUE"""),"Italy")</f>
        <v>Italy</v>
      </c>
      <c r="G783" s="5" t="str">
        <f>IFERROR(__xludf.DUMMYFUNCTION("""COMPUTED_VALUE"""),"Corn")</f>
        <v>Corn</v>
      </c>
      <c r="H783" s="6">
        <f>IFERROR(__xludf.DUMMYFUNCTION("""COMPUTED_VALUE"""),7560.0)</f>
        <v>7560</v>
      </c>
      <c r="I783" s="7">
        <f>IFERROR(__xludf.DUMMYFUNCTION("""COMPUTED_VALUE"""),44846.0)</f>
        <v>44846</v>
      </c>
      <c r="J783" s="7">
        <f>IFERROR(__xludf.DUMMYFUNCTION("""COMPUTED_VALUE"""),44864.0)</f>
        <v>44864</v>
      </c>
      <c r="K783" s="5" t="str">
        <f>IFERROR(__xludf.DUMMYFUNCTION("""COMPUTED_VALUE"""),"high-income")</f>
        <v>high-income</v>
      </c>
      <c r="L783" s="5" t="str">
        <f>IFERROR(__xludf.DUMMYFUNCTION("""COMPUTED_VALUE"""),"Panama")</f>
        <v>Panama</v>
      </c>
      <c r="M783" s="5" t="str">
        <f>IFERROR(__xludf.DUMMYFUNCTION("""COMPUTED_VALUE"""),"Europe &amp; Central Asia")</f>
        <v>Europe &amp; Central Asia</v>
      </c>
      <c r="N783" s="5" t="str">
        <f>IFERROR(__xludf.DUMMYFUNCTION("""COMPUTED_VALUE"""),"Western Europe and Others")</f>
        <v>Western Europe and Others</v>
      </c>
      <c r="O783" s="5" t="str">
        <f>IFERROR(__xludf.DUMMYFUNCTION("""COMPUTED_VALUE"""),"developed")</f>
        <v>developed</v>
      </c>
      <c r="P783" s="5"/>
      <c r="Q783" s="5"/>
    </row>
    <row r="784">
      <c r="A784" s="5" t="str">
        <f>IFERROR(__xludf.DUMMYFUNCTION("""COMPUTED_VALUE"""),"Outbound")</f>
        <v>Outbound</v>
      </c>
      <c r="B784" s="5">
        <f>IFERROR(__xludf.DUMMYFUNCTION("""COMPUTED_VALUE"""),322.0)</f>
        <v>322</v>
      </c>
      <c r="C784" s="5" t="str">
        <f>IFERROR(__xludf.DUMMYFUNCTION("""COMPUTED_VALUE"""),"KLC ERCIYES")</f>
        <v>KLC ERCIYES</v>
      </c>
      <c r="D784" s="5">
        <f>IFERROR(__xludf.DUMMYFUNCTION("""COMPUTED_VALUE"""),9132480.0)</f>
        <v>9132480</v>
      </c>
      <c r="E784" s="5" t="str">
        <f>IFERROR(__xludf.DUMMYFUNCTION("""COMPUTED_VALUE"""),"Odesa")</f>
        <v>Odesa</v>
      </c>
      <c r="F784" s="5" t="str">
        <f>IFERROR(__xludf.DUMMYFUNCTION("""COMPUTED_VALUE"""),"Egypt")</f>
        <v>Egypt</v>
      </c>
      <c r="G784" s="5" t="str">
        <f>IFERROR(__xludf.DUMMYFUNCTION("""COMPUTED_VALUE"""),"Soya beans")</f>
        <v>Soya beans</v>
      </c>
      <c r="H784" s="6">
        <f>IFERROR(__xludf.DUMMYFUNCTION("""COMPUTED_VALUE"""),11500.0)</f>
        <v>11500</v>
      </c>
      <c r="I784" s="7">
        <f>IFERROR(__xludf.DUMMYFUNCTION("""COMPUTED_VALUE"""),44846.0)</f>
        <v>44846</v>
      </c>
      <c r="J784" s="7">
        <f>IFERROR(__xludf.DUMMYFUNCTION("""COMPUTED_VALUE"""),44865.0)</f>
        <v>44865</v>
      </c>
      <c r="K784" s="5" t="str">
        <f>IFERROR(__xludf.DUMMYFUNCTION("""COMPUTED_VALUE"""),"lower-middle income")</f>
        <v>lower-middle income</v>
      </c>
      <c r="L784" s="5" t="str">
        <f>IFERROR(__xludf.DUMMYFUNCTION("""COMPUTED_VALUE"""),"Barbados")</f>
        <v>Barbados</v>
      </c>
      <c r="M784" s="5" t="str">
        <f>IFERROR(__xludf.DUMMYFUNCTION("""COMPUTED_VALUE"""),"Middle East &amp; North Africa")</f>
        <v>Middle East &amp; North Africa</v>
      </c>
      <c r="N784" s="5" t="str">
        <f>IFERROR(__xludf.DUMMYFUNCTION("""COMPUTED_VALUE"""),"Africa")</f>
        <v>Africa</v>
      </c>
      <c r="O784" s="5" t="str">
        <f>IFERROR(__xludf.DUMMYFUNCTION("""COMPUTED_VALUE"""),"developing")</f>
        <v>developing</v>
      </c>
      <c r="P784" s="5"/>
      <c r="Q784" s="5"/>
    </row>
    <row r="785">
      <c r="A785" s="5" t="str">
        <f>IFERROR(__xludf.DUMMYFUNCTION("""COMPUTED_VALUE"""),"Outbound")</f>
        <v>Outbound</v>
      </c>
      <c r="B785" s="5">
        <f>IFERROR(__xludf.DUMMYFUNCTION("""COMPUTED_VALUE"""),321.0)</f>
        <v>321</v>
      </c>
      <c r="C785" s="5" t="str">
        <f>IFERROR(__xludf.DUMMYFUNCTION("""COMPUTED_VALUE"""),"JASMIN QUEEN")</f>
        <v>JASMIN QUEEN</v>
      </c>
      <c r="D785" s="5">
        <f>IFERROR(__xludf.DUMMYFUNCTION("""COMPUTED_VALUE"""),9109861.0)</f>
        <v>9109861</v>
      </c>
      <c r="E785" s="5" t="str">
        <f>IFERROR(__xludf.DUMMYFUNCTION("""COMPUTED_VALUE"""),"Chornomorsk")</f>
        <v>Chornomorsk</v>
      </c>
      <c r="F785" s="5" t="str">
        <f>IFERROR(__xludf.DUMMYFUNCTION("""COMPUTED_VALUE"""),"Türkiye")</f>
        <v>Türkiye</v>
      </c>
      <c r="G785" s="5" t="str">
        <f>IFERROR(__xludf.DUMMYFUNCTION("""COMPUTED_VALUE"""),"Rapeseed")</f>
        <v>Rapeseed</v>
      </c>
      <c r="H785" s="6">
        <f>IFERROR(__xludf.DUMMYFUNCTION("""COMPUTED_VALUE"""),9500.0)</f>
        <v>9500</v>
      </c>
      <c r="I785" s="7">
        <f>IFERROR(__xludf.DUMMYFUNCTION("""COMPUTED_VALUE"""),44846.0)</f>
        <v>44846</v>
      </c>
      <c r="J785" s="7">
        <f>IFERROR(__xludf.DUMMYFUNCTION("""COMPUTED_VALUE"""),44865.0)</f>
        <v>44865</v>
      </c>
      <c r="K785" s="5" t="str">
        <f>IFERROR(__xludf.DUMMYFUNCTION("""COMPUTED_VALUE"""),"upper-middle-income")</f>
        <v>upper-middle-income</v>
      </c>
      <c r="L785" s="5" t="str">
        <f>IFERROR(__xludf.DUMMYFUNCTION("""COMPUTED_VALUE"""),"Cameroon")</f>
        <v>Cameroon</v>
      </c>
      <c r="M785" s="5" t="str">
        <f>IFERROR(__xludf.DUMMYFUNCTION("""COMPUTED_VALUE"""),"Europe &amp; Central Asia")</f>
        <v>Europe &amp; Central Asia</v>
      </c>
      <c r="N785" s="5" t="str">
        <f>IFERROR(__xludf.DUMMYFUNCTION("""COMPUTED_VALUE"""),"Asia-Pacific")</f>
        <v>Asia-Pacific</v>
      </c>
      <c r="O785" s="5" t="str">
        <f>IFERROR(__xludf.DUMMYFUNCTION("""COMPUTED_VALUE"""),"developing")</f>
        <v>developing</v>
      </c>
      <c r="P785" s="5"/>
      <c r="Q785" s="5"/>
    </row>
    <row r="786">
      <c r="A786" s="5" t="str">
        <f>IFERROR(__xludf.DUMMYFUNCTION("""COMPUTED_VALUE"""),"Outbound")</f>
        <v>Outbound</v>
      </c>
      <c r="B786" s="5">
        <f>IFERROR(__xludf.DUMMYFUNCTION("""COMPUTED_VALUE"""),320.0)</f>
        <v>320</v>
      </c>
      <c r="C786" s="5" t="str">
        <f>IFERROR(__xludf.DUMMYFUNCTION("""COMPUTED_VALUE"""),"GREAT ARSENAL")</f>
        <v>GREAT ARSENAL</v>
      </c>
      <c r="D786" s="5">
        <f>IFERROR(__xludf.DUMMYFUNCTION("""COMPUTED_VALUE"""),9159062.0)</f>
        <v>9159062</v>
      </c>
      <c r="E786" s="5" t="str">
        <f>IFERROR(__xludf.DUMMYFUNCTION("""COMPUTED_VALUE"""),"Odesa")</f>
        <v>Odesa</v>
      </c>
      <c r="F786" s="5" t="str">
        <f>IFERROR(__xludf.DUMMYFUNCTION("""COMPUTED_VALUE"""),"Türkiye")</f>
        <v>Türkiye</v>
      </c>
      <c r="G786" s="5" t="str">
        <f>IFERROR(__xludf.DUMMYFUNCTION("""COMPUTED_VALUE"""),"Wheat")</f>
        <v>Wheat</v>
      </c>
      <c r="H786" s="6">
        <f>IFERROR(__xludf.DUMMYFUNCTION("""COMPUTED_VALUE"""),27499.0)</f>
        <v>27499</v>
      </c>
      <c r="I786" s="7">
        <f>IFERROR(__xludf.DUMMYFUNCTION("""COMPUTED_VALUE"""),44846.0)</f>
        <v>44846</v>
      </c>
      <c r="J786" s="7">
        <f>IFERROR(__xludf.DUMMYFUNCTION("""COMPUTED_VALUE"""),44861.0)</f>
        <v>44861</v>
      </c>
      <c r="K786" s="5" t="str">
        <f>IFERROR(__xludf.DUMMYFUNCTION("""COMPUTED_VALUE"""),"upper-middle-income")</f>
        <v>upper-middle-income</v>
      </c>
      <c r="L786" s="5" t="str">
        <f>IFERROR(__xludf.DUMMYFUNCTION("""COMPUTED_VALUE"""),"St. Vincent and the Grenadines")</f>
        <v>St. Vincent and the Grenadines</v>
      </c>
      <c r="M786" s="5" t="str">
        <f>IFERROR(__xludf.DUMMYFUNCTION("""COMPUTED_VALUE"""),"Europe &amp; Central Asia")</f>
        <v>Europe &amp; Central Asia</v>
      </c>
      <c r="N786" s="5" t="str">
        <f>IFERROR(__xludf.DUMMYFUNCTION("""COMPUTED_VALUE"""),"Asia-Pacific")</f>
        <v>Asia-Pacific</v>
      </c>
      <c r="O786" s="5" t="str">
        <f>IFERROR(__xludf.DUMMYFUNCTION("""COMPUTED_VALUE"""),"developing")</f>
        <v>developing</v>
      </c>
      <c r="P786" s="5"/>
      <c r="Q786" s="5"/>
    </row>
    <row r="787">
      <c r="A787" s="5" t="str">
        <f>IFERROR(__xludf.DUMMYFUNCTION("""COMPUTED_VALUE"""),"Outbound")</f>
        <v>Outbound</v>
      </c>
      <c r="B787" s="5">
        <f>IFERROR(__xludf.DUMMYFUNCTION("""COMPUTED_VALUE"""),319.0)</f>
        <v>319</v>
      </c>
      <c r="C787" s="5" t="str">
        <f>IFERROR(__xludf.DUMMYFUNCTION("""COMPUTED_VALUE"""),"ELIF S")</f>
        <v>ELIF S</v>
      </c>
      <c r="D787" s="5">
        <f>IFERROR(__xludf.DUMMYFUNCTION("""COMPUTED_VALUE"""),8517293.0)</f>
        <v>8517293</v>
      </c>
      <c r="E787" s="5" t="str">
        <f>IFERROR(__xludf.DUMMYFUNCTION("""COMPUTED_VALUE"""),"Odesa")</f>
        <v>Odesa</v>
      </c>
      <c r="F787" s="5" t="str">
        <f>IFERROR(__xludf.DUMMYFUNCTION("""COMPUTED_VALUE"""),"Greece")</f>
        <v>Greece</v>
      </c>
      <c r="G787" s="5" t="str">
        <f>IFERROR(__xludf.DUMMYFUNCTION("""COMPUTED_VALUE"""),"Rapeseed meal")</f>
        <v>Rapeseed meal</v>
      </c>
      <c r="H787" s="6">
        <f>IFERROR(__xludf.DUMMYFUNCTION("""COMPUTED_VALUE"""),6200.0)</f>
        <v>6200</v>
      </c>
      <c r="I787" s="7">
        <f>IFERROR(__xludf.DUMMYFUNCTION("""COMPUTED_VALUE"""),44846.0)</f>
        <v>44846</v>
      </c>
      <c r="J787" s="7">
        <f>IFERROR(__xludf.DUMMYFUNCTION("""COMPUTED_VALUE"""),44865.0)</f>
        <v>44865</v>
      </c>
      <c r="K787" s="5" t="str">
        <f>IFERROR(__xludf.DUMMYFUNCTION("""COMPUTED_VALUE"""),"high-income")</f>
        <v>high-income</v>
      </c>
      <c r="L787" s="5" t="str">
        <f>IFERROR(__xludf.DUMMYFUNCTION("""COMPUTED_VALUE"""),"Comoros")</f>
        <v>Comoros</v>
      </c>
      <c r="M787" s="5" t="str">
        <f>IFERROR(__xludf.DUMMYFUNCTION("""COMPUTED_VALUE"""),"Europe &amp; Central Asia")</f>
        <v>Europe &amp; Central Asia</v>
      </c>
      <c r="N787" s="5" t="str">
        <f>IFERROR(__xludf.DUMMYFUNCTION("""COMPUTED_VALUE"""),"Western Europe and Others")</f>
        <v>Western Europe and Others</v>
      </c>
      <c r="O787" s="5" t="str">
        <f>IFERROR(__xludf.DUMMYFUNCTION("""COMPUTED_VALUE"""),"developed")</f>
        <v>developed</v>
      </c>
      <c r="P787" s="5"/>
      <c r="Q787" s="5"/>
    </row>
    <row r="788">
      <c r="A788" s="5" t="str">
        <f>IFERROR(__xludf.DUMMYFUNCTION("""COMPUTED_VALUE"""),"Outbound")</f>
        <v>Outbound</v>
      </c>
      <c r="B788" s="5">
        <f>IFERROR(__xludf.DUMMYFUNCTION("""COMPUTED_VALUE"""),318.0)</f>
        <v>318</v>
      </c>
      <c r="C788" s="5" t="str">
        <f>IFERROR(__xludf.DUMMYFUNCTION("""COMPUTED_VALUE"""),"EGE BEY")</f>
        <v>EGE BEY</v>
      </c>
      <c r="D788" s="5">
        <f>IFERROR(__xludf.DUMMYFUNCTION("""COMPUTED_VALUE"""),9103013.0)</f>
        <v>9103013</v>
      </c>
      <c r="E788" s="5" t="str">
        <f>IFERROR(__xludf.DUMMYFUNCTION("""COMPUTED_VALUE"""),"Yuzhny/Pivdennyi")</f>
        <v>Yuzhny/Pivdennyi</v>
      </c>
      <c r="F788" s="5" t="str">
        <f>IFERROR(__xludf.DUMMYFUNCTION("""COMPUTED_VALUE"""),"France")</f>
        <v>France</v>
      </c>
      <c r="G788" s="5" t="str">
        <f>IFERROR(__xludf.DUMMYFUNCTION("""COMPUTED_VALUE"""),"Sunflower seed")</f>
        <v>Sunflower seed</v>
      </c>
      <c r="H788" s="6">
        <f>IFERROR(__xludf.DUMMYFUNCTION("""COMPUTED_VALUE"""),5700.0)</f>
        <v>5700</v>
      </c>
      <c r="I788" s="7">
        <f>IFERROR(__xludf.DUMMYFUNCTION("""COMPUTED_VALUE"""),44846.0)</f>
        <v>44846</v>
      </c>
      <c r="J788" s="7">
        <f>IFERROR(__xludf.DUMMYFUNCTION("""COMPUTED_VALUE"""),44861.0)</f>
        <v>44861</v>
      </c>
      <c r="K788" s="5" t="str">
        <f>IFERROR(__xludf.DUMMYFUNCTION("""COMPUTED_VALUE"""),"high-income")</f>
        <v>high-income</v>
      </c>
      <c r="L788" s="5" t="str">
        <f>IFERROR(__xludf.DUMMYFUNCTION("""COMPUTED_VALUE"""),"Vanuatu")</f>
        <v>Vanuatu</v>
      </c>
      <c r="M788" s="5" t="str">
        <f>IFERROR(__xludf.DUMMYFUNCTION("""COMPUTED_VALUE"""),"Europe &amp; Central Asia")</f>
        <v>Europe &amp; Central Asia</v>
      </c>
      <c r="N788" s="5" t="str">
        <f>IFERROR(__xludf.DUMMYFUNCTION("""COMPUTED_VALUE"""),"Western Europe and Others")</f>
        <v>Western Europe and Others</v>
      </c>
      <c r="O788" s="5" t="str">
        <f>IFERROR(__xludf.DUMMYFUNCTION("""COMPUTED_VALUE"""),"developed")</f>
        <v>developed</v>
      </c>
      <c r="P788" s="5"/>
      <c r="Q788" s="5"/>
    </row>
    <row r="789">
      <c r="A789" s="5" t="str">
        <f>IFERROR(__xludf.DUMMYFUNCTION("""COMPUTED_VALUE"""),"Outbound")</f>
        <v>Outbound</v>
      </c>
      <c r="B789" s="5">
        <f>IFERROR(__xludf.DUMMYFUNCTION("""COMPUTED_VALUE"""),317.0)</f>
        <v>317</v>
      </c>
      <c r="C789" s="5" t="str">
        <f>IFERROR(__xludf.DUMMYFUNCTION("""COMPUTED_VALUE"""),"AGNES VICTORY")</f>
        <v>AGNES VICTORY</v>
      </c>
      <c r="D789" s="5">
        <f>IFERROR(__xludf.DUMMYFUNCTION("""COMPUTED_VALUE"""),9258600.0)</f>
        <v>9258600</v>
      </c>
      <c r="E789" s="5" t="str">
        <f>IFERROR(__xludf.DUMMYFUNCTION("""COMPUTED_VALUE"""),"Chornomorsk")</f>
        <v>Chornomorsk</v>
      </c>
      <c r="F789" s="5" t="str">
        <f>IFERROR(__xludf.DUMMYFUNCTION("""COMPUTED_VALUE"""),"India")</f>
        <v>India</v>
      </c>
      <c r="G789" s="5" t="str">
        <f>IFERROR(__xludf.DUMMYFUNCTION("""COMPUTED_VALUE"""),"Sunflower oil")</f>
        <v>Sunflower oil</v>
      </c>
      <c r="H789" s="6">
        <f>IFERROR(__xludf.DUMMYFUNCTION("""COMPUTED_VALUE"""),42000.0)</f>
        <v>42000</v>
      </c>
      <c r="I789" s="7">
        <f>IFERROR(__xludf.DUMMYFUNCTION("""COMPUTED_VALUE"""),44846.0)</f>
        <v>44846</v>
      </c>
      <c r="J789" s="7">
        <f>IFERROR(__xludf.DUMMYFUNCTION("""COMPUTED_VALUE"""),44850.0)</f>
        <v>44850</v>
      </c>
      <c r="K789" s="5" t="str">
        <f>IFERROR(__xludf.DUMMYFUNCTION("""COMPUTED_VALUE"""),"lower-middle income")</f>
        <v>lower-middle income</v>
      </c>
      <c r="L789" s="5" t="str">
        <f>IFERROR(__xludf.DUMMYFUNCTION("""COMPUTED_VALUE"""),"Norway")</f>
        <v>Norway</v>
      </c>
      <c r="M789" s="5" t="str">
        <f>IFERROR(__xludf.DUMMYFUNCTION("""COMPUTED_VALUE"""),"South Asia")</f>
        <v>South Asia</v>
      </c>
      <c r="N789" s="5" t="str">
        <f>IFERROR(__xludf.DUMMYFUNCTION("""COMPUTED_VALUE"""),"Asia-Pacific")</f>
        <v>Asia-Pacific</v>
      </c>
      <c r="O789" s="5" t="str">
        <f>IFERROR(__xludf.DUMMYFUNCTION("""COMPUTED_VALUE"""),"developing")</f>
        <v>developing</v>
      </c>
      <c r="P789" s="5"/>
      <c r="Q789" s="5"/>
    </row>
    <row r="790">
      <c r="A790" s="5" t="str">
        <f>IFERROR(__xludf.DUMMYFUNCTION("""COMPUTED_VALUE"""),"Outbound")</f>
        <v>Outbound</v>
      </c>
      <c r="B790" s="5">
        <f>IFERROR(__xludf.DUMMYFUNCTION("""COMPUTED_VALUE"""),316.0)</f>
        <v>316</v>
      </c>
      <c r="C790" s="5" t="str">
        <f>IFERROR(__xludf.DUMMYFUNCTION("""COMPUTED_VALUE"""),"SEA PEARL J")</f>
        <v>SEA PEARL J</v>
      </c>
      <c r="D790" s="5">
        <f>IFERROR(__xludf.DUMMYFUNCTION("""COMPUTED_VALUE"""),9261011.0)</f>
        <v>9261011</v>
      </c>
      <c r="E790" s="5" t="str">
        <f>IFERROR(__xludf.DUMMYFUNCTION("""COMPUTED_VALUE"""),"Chornomorsk")</f>
        <v>Chornomorsk</v>
      </c>
      <c r="F790" s="5" t="str">
        <f>IFERROR(__xludf.DUMMYFUNCTION("""COMPUTED_VALUE"""),"Tunisia")</f>
        <v>Tunisia</v>
      </c>
      <c r="G790" s="5" t="str">
        <f>IFERROR(__xludf.DUMMYFUNCTION("""COMPUTED_VALUE"""),"Corn")</f>
        <v>Corn</v>
      </c>
      <c r="H790" s="6">
        <f>IFERROR(__xludf.DUMMYFUNCTION("""COMPUTED_VALUE"""),30000.0)</f>
        <v>30000</v>
      </c>
      <c r="I790" s="7">
        <f>IFERROR(__xludf.DUMMYFUNCTION("""COMPUTED_VALUE"""),44845.0)</f>
        <v>44845</v>
      </c>
      <c r="J790" s="7">
        <f>IFERROR(__xludf.DUMMYFUNCTION("""COMPUTED_VALUE"""),44860.0)</f>
        <v>44860</v>
      </c>
      <c r="K790" s="5" t="str">
        <f>IFERROR(__xludf.DUMMYFUNCTION("""COMPUTED_VALUE"""),"lower-middle income")</f>
        <v>lower-middle income</v>
      </c>
      <c r="L790" s="5" t="str">
        <f>IFERROR(__xludf.DUMMYFUNCTION("""COMPUTED_VALUE"""),"Barbados")</f>
        <v>Barbados</v>
      </c>
      <c r="M790" s="5" t="str">
        <f>IFERROR(__xludf.DUMMYFUNCTION("""COMPUTED_VALUE"""),"Middle East &amp; North Africa")</f>
        <v>Middle East &amp; North Africa</v>
      </c>
      <c r="N790" s="5" t="str">
        <f>IFERROR(__xludf.DUMMYFUNCTION("""COMPUTED_VALUE"""),"Africa")</f>
        <v>Africa</v>
      </c>
      <c r="O790" s="5" t="str">
        <f>IFERROR(__xludf.DUMMYFUNCTION("""COMPUTED_VALUE"""),"developing")</f>
        <v>developing</v>
      </c>
      <c r="P790" s="5"/>
      <c r="Q790" s="5"/>
    </row>
    <row r="791">
      <c r="A791" s="5" t="str">
        <f>IFERROR(__xludf.DUMMYFUNCTION("""COMPUTED_VALUE"""),"Outbound")</f>
        <v>Outbound</v>
      </c>
      <c r="B791" s="5">
        <f>IFERROR(__xludf.DUMMYFUNCTION("""COMPUTED_VALUE"""),315.0)</f>
        <v>315</v>
      </c>
      <c r="C791" s="5" t="str">
        <f>IFERROR(__xludf.DUMMYFUNCTION("""COMPUTED_VALUE"""),"MELINA")</f>
        <v>MELINA</v>
      </c>
      <c r="D791" s="5">
        <f>IFERROR(__xludf.DUMMYFUNCTION("""COMPUTED_VALUE"""),9550424.0)</f>
        <v>9550424</v>
      </c>
      <c r="E791" s="5" t="str">
        <f>IFERROR(__xludf.DUMMYFUNCTION("""COMPUTED_VALUE"""),"Yuzhny/Pivdennyi")</f>
        <v>Yuzhny/Pivdennyi</v>
      </c>
      <c r="F791" s="5" t="str">
        <f>IFERROR(__xludf.DUMMYFUNCTION("""COMPUTED_VALUE"""),"Italy")</f>
        <v>Italy</v>
      </c>
      <c r="G791" s="5" t="str">
        <f>IFERROR(__xludf.DUMMYFUNCTION("""COMPUTED_VALUE"""),"Corn")</f>
        <v>Corn</v>
      </c>
      <c r="H791" s="6">
        <f>IFERROR(__xludf.DUMMYFUNCTION("""COMPUTED_VALUE"""),26380.0)</f>
        <v>26380</v>
      </c>
      <c r="I791" s="7">
        <f>IFERROR(__xludf.DUMMYFUNCTION("""COMPUTED_VALUE"""),44845.0)</f>
        <v>44845</v>
      </c>
      <c r="J791" s="7">
        <f>IFERROR(__xludf.DUMMYFUNCTION("""COMPUTED_VALUE"""),44866.0)</f>
        <v>44866</v>
      </c>
      <c r="K791" s="5" t="str">
        <f>IFERROR(__xludf.DUMMYFUNCTION("""COMPUTED_VALUE"""),"high-income")</f>
        <v>high-income</v>
      </c>
      <c r="L791" s="5" t="str">
        <f>IFERROR(__xludf.DUMMYFUNCTION("""COMPUTED_VALUE"""),"Liberia")</f>
        <v>Liberia</v>
      </c>
      <c r="M791" s="5" t="str">
        <f>IFERROR(__xludf.DUMMYFUNCTION("""COMPUTED_VALUE"""),"Europe &amp; Central Asia")</f>
        <v>Europe &amp; Central Asia</v>
      </c>
      <c r="N791" s="5" t="str">
        <f>IFERROR(__xludf.DUMMYFUNCTION("""COMPUTED_VALUE"""),"Western Europe and Others")</f>
        <v>Western Europe and Others</v>
      </c>
      <c r="O791" s="5" t="str">
        <f>IFERROR(__xludf.DUMMYFUNCTION("""COMPUTED_VALUE"""),"developed")</f>
        <v>developed</v>
      </c>
      <c r="P791" s="5"/>
      <c r="Q791" s="5"/>
    </row>
    <row r="792">
      <c r="A792" s="5" t="str">
        <f>IFERROR(__xludf.DUMMYFUNCTION("""COMPUTED_VALUE"""),"Outbound")</f>
        <v>Outbound</v>
      </c>
      <c r="B792" s="5">
        <f>IFERROR(__xludf.DUMMYFUNCTION("""COMPUTED_VALUE"""),314.0)</f>
        <v>314</v>
      </c>
      <c r="C792" s="5" t="str">
        <f>IFERROR(__xludf.DUMMYFUNCTION("""COMPUTED_VALUE"""),"MAGNUM POWER")</f>
        <v>MAGNUM POWER</v>
      </c>
      <c r="D792" s="5">
        <f>IFERROR(__xludf.DUMMYFUNCTION("""COMPUTED_VALUE"""),9488968.0)</f>
        <v>9488968</v>
      </c>
      <c r="E792" s="5" t="str">
        <f>IFERROR(__xludf.DUMMYFUNCTION("""COMPUTED_VALUE"""),"Chornomorsk")</f>
        <v>Chornomorsk</v>
      </c>
      <c r="F792" s="5" t="str">
        <f>IFERROR(__xludf.DUMMYFUNCTION("""COMPUTED_VALUE"""),"Indonesia")</f>
        <v>Indonesia</v>
      </c>
      <c r="G792" s="5" t="str">
        <f>IFERROR(__xludf.DUMMYFUNCTION("""COMPUTED_VALUE"""),"Wheat")</f>
        <v>Wheat</v>
      </c>
      <c r="H792" s="6">
        <f>IFERROR(__xludf.DUMMYFUNCTION("""COMPUTED_VALUE"""),51742.0)</f>
        <v>51742</v>
      </c>
      <c r="I792" s="7">
        <f>IFERROR(__xludf.DUMMYFUNCTION("""COMPUTED_VALUE"""),44845.0)</f>
        <v>44845</v>
      </c>
      <c r="J792" s="7">
        <f>IFERROR(__xludf.DUMMYFUNCTION("""COMPUTED_VALUE"""),44865.0)</f>
        <v>44865</v>
      </c>
      <c r="K792" s="5" t="str">
        <f>IFERROR(__xludf.DUMMYFUNCTION("""COMPUTED_VALUE"""),"lower-middle income")</f>
        <v>lower-middle income</v>
      </c>
      <c r="L792" s="5" t="str">
        <f>IFERROR(__xludf.DUMMYFUNCTION("""COMPUTED_VALUE"""),"Marshall Islands")</f>
        <v>Marshall Islands</v>
      </c>
      <c r="M792" s="5" t="str">
        <f>IFERROR(__xludf.DUMMYFUNCTION("""COMPUTED_VALUE"""),"East Asia &amp; Pacific")</f>
        <v>East Asia &amp; Pacific</v>
      </c>
      <c r="N792" s="5" t="str">
        <f>IFERROR(__xludf.DUMMYFUNCTION("""COMPUTED_VALUE"""),"Asia-Pacific")</f>
        <v>Asia-Pacific</v>
      </c>
      <c r="O792" s="5" t="str">
        <f>IFERROR(__xludf.DUMMYFUNCTION("""COMPUTED_VALUE"""),"developing")</f>
        <v>developing</v>
      </c>
      <c r="P792" s="5"/>
      <c r="Q792" s="5"/>
    </row>
    <row r="793">
      <c r="A793" s="5" t="str">
        <f>IFERROR(__xludf.DUMMYFUNCTION("""COMPUTED_VALUE"""),"Outbound")</f>
        <v>Outbound</v>
      </c>
      <c r="B793" s="5">
        <f>IFERROR(__xludf.DUMMYFUNCTION("""COMPUTED_VALUE"""),313.0)</f>
        <v>313</v>
      </c>
      <c r="C793" s="5" t="str">
        <f>IFERROR(__xludf.DUMMYFUNCTION("""COMPUTED_VALUE"""),"LUCKY TRADER")</f>
        <v>LUCKY TRADER</v>
      </c>
      <c r="D793" s="5">
        <f>IFERROR(__xludf.DUMMYFUNCTION("""COMPUTED_VALUE"""),9427574.0)</f>
        <v>9427574</v>
      </c>
      <c r="E793" s="5" t="str">
        <f>IFERROR(__xludf.DUMMYFUNCTION("""COMPUTED_VALUE"""),"Odesa")</f>
        <v>Odesa</v>
      </c>
      <c r="F793" s="5" t="str">
        <f>IFERROR(__xludf.DUMMYFUNCTION("""COMPUTED_VALUE"""),"Türkiye")</f>
        <v>Türkiye</v>
      </c>
      <c r="G793" s="5" t="str">
        <f>IFERROR(__xludf.DUMMYFUNCTION("""COMPUTED_VALUE"""),"Wheat")</f>
        <v>Wheat</v>
      </c>
      <c r="H793" s="6">
        <f>IFERROR(__xludf.DUMMYFUNCTION("""COMPUTED_VALUE"""),24000.0)</f>
        <v>24000</v>
      </c>
      <c r="I793" s="7">
        <f>IFERROR(__xludf.DUMMYFUNCTION("""COMPUTED_VALUE"""),44845.0)</f>
        <v>44845</v>
      </c>
      <c r="J793" s="7">
        <f>IFERROR(__xludf.DUMMYFUNCTION("""COMPUTED_VALUE"""),44859.0)</f>
        <v>44859</v>
      </c>
      <c r="K793" s="5" t="str">
        <f>IFERROR(__xludf.DUMMYFUNCTION("""COMPUTED_VALUE"""),"upper-middle-income")</f>
        <v>upper-middle-income</v>
      </c>
      <c r="L793" s="5" t="str">
        <f>IFERROR(__xludf.DUMMYFUNCTION("""COMPUTED_VALUE"""),"Barbados")</f>
        <v>Barbados</v>
      </c>
      <c r="M793" s="5" t="str">
        <f>IFERROR(__xludf.DUMMYFUNCTION("""COMPUTED_VALUE"""),"Europe &amp; Central Asia")</f>
        <v>Europe &amp; Central Asia</v>
      </c>
      <c r="N793" s="5" t="str">
        <f>IFERROR(__xludf.DUMMYFUNCTION("""COMPUTED_VALUE"""),"Asia-Pacific")</f>
        <v>Asia-Pacific</v>
      </c>
      <c r="O793" s="5" t="str">
        <f>IFERROR(__xludf.DUMMYFUNCTION("""COMPUTED_VALUE"""),"developing")</f>
        <v>developing</v>
      </c>
      <c r="P793" s="5"/>
      <c r="Q793" s="5"/>
    </row>
    <row r="794">
      <c r="A794" s="5" t="str">
        <f>IFERROR(__xludf.DUMMYFUNCTION("""COMPUTED_VALUE"""),"Outbound")</f>
        <v>Outbound</v>
      </c>
      <c r="B794" s="5">
        <f>IFERROR(__xludf.DUMMYFUNCTION("""COMPUTED_VALUE"""),312.0)</f>
        <v>312</v>
      </c>
      <c r="C794" s="5" t="str">
        <f>IFERROR(__xludf.DUMMYFUNCTION("""COMPUTED_VALUE"""),"INCE EVRENYE")</f>
        <v>INCE EVRENYE</v>
      </c>
      <c r="D794" s="5">
        <f>IFERROR(__xludf.DUMMYFUNCTION("""COMPUTED_VALUE"""),9668295.0)</f>
        <v>9668295</v>
      </c>
      <c r="E794" s="5" t="str">
        <f>IFERROR(__xludf.DUMMYFUNCTION("""COMPUTED_VALUE"""),"Chornomorsk")</f>
        <v>Chornomorsk</v>
      </c>
      <c r="F794" s="5" t="str">
        <f>IFERROR(__xludf.DUMMYFUNCTION("""COMPUTED_VALUE"""),"Spain")</f>
        <v>Spain</v>
      </c>
      <c r="G794" s="5" t="str">
        <f>IFERROR(__xludf.DUMMYFUNCTION("""COMPUTED_VALUE"""),"Wheat")</f>
        <v>Wheat</v>
      </c>
      <c r="H794" s="6">
        <f>IFERROR(__xludf.DUMMYFUNCTION("""COMPUTED_VALUE"""),27390.0)</f>
        <v>27390</v>
      </c>
      <c r="I794" s="7">
        <f>IFERROR(__xludf.DUMMYFUNCTION("""COMPUTED_VALUE"""),44845.0)</f>
        <v>44845</v>
      </c>
      <c r="J794" s="7">
        <f>IFERROR(__xludf.DUMMYFUNCTION("""COMPUTED_VALUE"""),44860.0)</f>
        <v>44860</v>
      </c>
      <c r="K794" s="5" t="str">
        <f>IFERROR(__xludf.DUMMYFUNCTION("""COMPUTED_VALUE"""),"high-income")</f>
        <v>high-income</v>
      </c>
      <c r="L794" s="5" t="str">
        <f>IFERROR(__xludf.DUMMYFUNCTION("""COMPUTED_VALUE"""),"Singapore")</f>
        <v>Singapore</v>
      </c>
      <c r="M794" s="5" t="str">
        <f>IFERROR(__xludf.DUMMYFUNCTION("""COMPUTED_VALUE"""),"Europe &amp; Central Asia")</f>
        <v>Europe &amp; Central Asia</v>
      </c>
      <c r="N794" s="5" t="str">
        <f>IFERROR(__xludf.DUMMYFUNCTION("""COMPUTED_VALUE"""),"Western Europe and Others")</f>
        <v>Western Europe and Others</v>
      </c>
      <c r="O794" s="5" t="str">
        <f>IFERROR(__xludf.DUMMYFUNCTION("""COMPUTED_VALUE"""),"developed")</f>
        <v>developed</v>
      </c>
      <c r="P794" s="5"/>
      <c r="Q794" s="5"/>
    </row>
    <row r="795">
      <c r="A795" s="5" t="str">
        <f>IFERROR(__xludf.DUMMYFUNCTION("""COMPUTED_VALUE"""),"Outbound")</f>
        <v>Outbound</v>
      </c>
      <c r="B795" s="5">
        <f>IFERROR(__xludf.DUMMYFUNCTION("""COMPUTED_VALUE"""),311.0)</f>
        <v>311</v>
      </c>
      <c r="C795" s="5" t="str">
        <f>IFERROR(__xludf.DUMMYFUNCTION("""COMPUTED_VALUE"""),"HAZAR S")</f>
        <v>HAZAR S</v>
      </c>
      <c r="D795" s="5">
        <f>IFERROR(__xludf.DUMMYFUNCTION("""COMPUTED_VALUE"""),9545467.0)</f>
        <v>9545467</v>
      </c>
      <c r="E795" s="5" t="str">
        <f>IFERROR(__xludf.DUMMYFUNCTION("""COMPUTED_VALUE"""),"Chornomorsk")</f>
        <v>Chornomorsk</v>
      </c>
      <c r="F795" s="5" t="str">
        <f>IFERROR(__xludf.DUMMYFUNCTION("""COMPUTED_VALUE"""),"Italy")</f>
        <v>Italy</v>
      </c>
      <c r="G795" s="5" t="str">
        <f>IFERROR(__xludf.DUMMYFUNCTION("""COMPUTED_VALUE"""),"Corn")</f>
        <v>Corn</v>
      </c>
      <c r="H795" s="6">
        <f>IFERROR(__xludf.DUMMYFUNCTION("""COMPUTED_VALUE"""),6000.0)</f>
        <v>6000</v>
      </c>
      <c r="I795" s="7">
        <f>IFERROR(__xludf.DUMMYFUNCTION("""COMPUTED_VALUE"""),44845.0)</f>
        <v>44845</v>
      </c>
      <c r="J795" s="7">
        <f>IFERROR(__xludf.DUMMYFUNCTION("""COMPUTED_VALUE"""),44859.0)</f>
        <v>44859</v>
      </c>
      <c r="K795" s="5" t="str">
        <f>IFERROR(__xludf.DUMMYFUNCTION("""COMPUTED_VALUE"""),"high-income")</f>
        <v>high-income</v>
      </c>
      <c r="L795" s="5" t="str">
        <f>IFERROR(__xludf.DUMMYFUNCTION("""COMPUTED_VALUE"""),"Panama")</f>
        <v>Panama</v>
      </c>
      <c r="M795" s="5" t="str">
        <f>IFERROR(__xludf.DUMMYFUNCTION("""COMPUTED_VALUE"""),"Europe &amp; Central Asia")</f>
        <v>Europe &amp; Central Asia</v>
      </c>
      <c r="N795" s="5" t="str">
        <f>IFERROR(__xludf.DUMMYFUNCTION("""COMPUTED_VALUE"""),"Western Europe and Others")</f>
        <v>Western Europe and Others</v>
      </c>
      <c r="O795" s="5" t="str">
        <f>IFERROR(__xludf.DUMMYFUNCTION("""COMPUTED_VALUE"""),"developed")</f>
        <v>developed</v>
      </c>
      <c r="P795" s="5"/>
      <c r="Q795" s="5"/>
    </row>
    <row r="796">
      <c r="A796" s="5" t="str">
        <f>IFERROR(__xludf.DUMMYFUNCTION("""COMPUTED_VALUE"""),"Outbound")</f>
        <v>Outbound</v>
      </c>
      <c r="B796" s="5">
        <f>IFERROR(__xludf.DUMMYFUNCTION("""COMPUTED_VALUE"""),310.0)</f>
        <v>310</v>
      </c>
      <c r="C796" s="5" t="str">
        <f>IFERROR(__xludf.DUMMYFUNCTION("""COMPUTED_VALUE"""),"ERDEK")</f>
        <v>ERDEK</v>
      </c>
      <c r="D796" s="5">
        <f>IFERROR(__xludf.DUMMYFUNCTION("""COMPUTED_VALUE"""),9175767.0)</f>
        <v>9175767</v>
      </c>
      <c r="E796" s="5" t="str">
        <f>IFERROR(__xludf.DUMMYFUNCTION("""COMPUTED_VALUE"""),"Yuzhny/Pivdennyi")</f>
        <v>Yuzhny/Pivdennyi</v>
      </c>
      <c r="F796" s="5" t="str">
        <f>IFERROR(__xludf.DUMMYFUNCTION("""COMPUTED_VALUE"""),"Djibouti")</f>
        <v>Djibouti</v>
      </c>
      <c r="G796" s="5" t="str">
        <f>IFERROR(__xludf.DUMMYFUNCTION("""COMPUTED_VALUE"""),"Sunflower oil")</f>
        <v>Sunflower oil</v>
      </c>
      <c r="H796" s="6">
        <f>IFERROR(__xludf.DUMMYFUNCTION("""COMPUTED_VALUE"""),6200.0)</f>
        <v>6200</v>
      </c>
      <c r="I796" s="7">
        <f>IFERROR(__xludf.DUMMYFUNCTION("""COMPUTED_VALUE"""),44845.0)</f>
        <v>44845</v>
      </c>
      <c r="J796" s="7">
        <f>IFERROR(__xludf.DUMMYFUNCTION("""COMPUTED_VALUE"""),44860.0)</f>
        <v>44860</v>
      </c>
      <c r="K796" s="5" t="str">
        <f>IFERROR(__xludf.DUMMYFUNCTION("""COMPUTED_VALUE"""),"lower-middle income")</f>
        <v>lower-middle income</v>
      </c>
      <c r="L796" s="5" t="str">
        <f>IFERROR(__xludf.DUMMYFUNCTION("""COMPUTED_VALUE"""),"Türkiye")</f>
        <v>Türkiye</v>
      </c>
      <c r="M796" s="5" t="str">
        <f>IFERROR(__xludf.DUMMYFUNCTION("""COMPUTED_VALUE"""),"Middle East &amp; North Africa")</f>
        <v>Middle East &amp; North Africa</v>
      </c>
      <c r="N796" s="5" t="str">
        <f>IFERROR(__xludf.DUMMYFUNCTION("""COMPUTED_VALUE"""),"Africa")</f>
        <v>Africa</v>
      </c>
      <c r="O796" s="5" t="str">
        <f>IFERROR(__xludf.DUMMYFUNCTION("""COMPUTED_VALUE"""),"developing")</f>
        <v>developing</v>
      </c>
      <c r="P796" s="5"/>
      <c r="Q796" s="5"/>
    </row>
    <row r="797">
      <c r="A797" s="5" t="str">
        <f>IFERROR(__xludf.DUMMYFUNCTION("""COMPUTED_VALUE"""),"Outbound +")</f>
        <v>Outbound +</v>
      </c>
      <c r="B797" s="5">
        <f>IFERROR(__xludf.DUMMYFUNCTION("""COMPUTED_VALUE"""),310.0)</f>
        <v>310</v>
      </c>
      <c r="C797" s="5" t="str">
        <f>IFERROR(__xludf.DUMMYFUNCTION("""COMPUTED_VALUE"""),"ERDEK")</f>
        <v>ERDEK</v>
      </c>
      <c r="D797" s="5">
        <f>IFERROR(__xludf.DUMMYFUNCTION("""COMPUTED_VALUE"""),9175767.0)</f>
        <v>9175767</v>
      </c>
      <c r="E797" s="5" t="str">
        <f>IFERROR(__xludf.DUMMYFUNCTION("""COMPUTED_VALUE"""),"Yuzhny/Pivdennyi")</f>
        <v>Yuzhny/Pivdennyi</v>
      </c>
      <c r="F797" s="5" t="str">
        <f>IFERROR(__xludf.DUMMYFUNCTION("""COMPUTED_VALUE"""),"Oman")</f>
        <v>Oman</v>
      </c>
      <c r="G797" s="5" t="str">
        <f>IFERROR(__xludf.DUMMYFUNCTION("""COMPUTED_VALUE"""),"Sunflower oil")</f>
        <v>Sunflower oil</v>
      </c>
      <c r="H797" s="6">
        <f>IFERROR(__xludf.DUMMYFUNCTION("""COMPUTED_VALUE"""),3150.0)</f>
        <v>3150</v>
      </c>
      <c r="I797" s="7">
        <f>IFERROR(__xludf.DUMMYFUNCTION("""COMPUTED_VALUE"""),44845.0)</f>
        <v>44845</v>
      </c>
      <c r="J797" s="7">
        <f>IFERROR(__xludf.DUMMYFUNCTION("""COMPUTED_VALUE"""),44860.0)</f>
        <v>44860</v>
      </c>
      <c r="K797" s="5" t="str">
        <f>IFERROR(__xludf.DUMMYFUNCTION("""COMPUTED_VALUE"""),"high-income")</f>
        <v>high-income</v>
      </c>
      <c r="L797" s="5" t="str">
        <f>IFERROR(__xludf.DUMMYFUNCTION("""COMPUTED_VALUE"""),"Türkiye")</f>
        <v>Türkiye</v>
      </c>
      <c r="M797" s="5" t="str">
        <f>IFERROR(__xludf.DUMMYFUNCTION("""COMPUTED_VALUE"""),"Middle East &amp; North Africa")</f>
        <v>Middle East &amp; North Africa</v>
      </c>
      <c r="N797" s="5" t="str">
        <f>IFERROR(__xludf.DUMMYFUNCTION("""COMPUTED_VALUE"""),"Asia-Pacific")</f>
        <v>Asia-Pacific</v>
      </c>
      <c r="O797" s="5" t="str">
        <f>IFERROR(__xludf.DUMMYFUNCTION("""COMPUTED_VALUE"""),"developing")</f>
        <v>developing</v>
      </c>
      <c r="P797" s="5"/>
      <c r="Q797" s="5"/>
    </row>
    <row r="798">
      <c r="A798" s="5" t="str">
        <f>IFERROR(__xludf.DUMMYFUNCTION("""COMPUTED_VALUE"""),"Outbound")</f>
        <v>Outbound</v>
      </c>
      <c r="B798" s="5">
        <f>IFERROR(__xludf.DUMMYFUNCTION("""COMPUTED_VALUE"""),309.0)</f>
        <v>309</v>
      </c>
      <c r="C798" s="5" t="str">
        <f>IFERROR(__xludf.DUMMYFUNCTION("""COMPUTED_VALUE"""),"TAJ")</f>
        <v>TAJ</v>
      </c>
      <c r="D798" s="5">
        <f>IFERROR(__xludf.DUMMYFUNCTION("""COMPUTED_VALUE"""),9010060.0)</f>
        <v>9010060</v>
      </c>
      <c r="E798" s="5" t="str">
        <f>IFERROR(__xludf.DUMMYFUNCTION("""COMPUTED_VALUE"""),"Chornomorsk")</f>
        <v>Chornomorsk</v>
      </c>
      <c r="F798" s="5" t="str">
        <f>IFERROR(__xludf.DUMMYFUNCTION("""COMPUTED_VALUE"""),"Türkiye")</f>
        <v>Türkiye</v>
      </c>
      <c r="G798" s="5" t="str">
        <f>IFERROR(__xludf.DUMMYFUNCTION("""COMPUTED_VALUE"""),"Corn")</f>
        <v>Corn</v>
      </c>
      <c r="H798" s="6">
        <f>IFERROR(__xludf.DUMMYFUNCTION("""COMPUTED_VALUE"""),10500.0)</f>
        <v>10500</v>
      </c>
      <c r="I798" s="7">
        <f>IFERROR(__xludf.DUMMYFUNCTION("""COMPUTED_VALUE"""),44844.0)</f>
        <v>44844</v>
      </c>
      <c r="J798" s="7">
        <f>IFERROR(__xludf.DUMMYFUNCTION("""COMPUTED_VALUE"""),44865.0)</f>
        <v>44865</v>
      </c>
      <c r="K798" s="5" t="str">
        <f>IFERROR(__xludf.DUMMYFUNCTION("""COMPUTED_VALUE"""),"upper-middle-income")</f>
        <v>upper-middle-income</v>
      </c>
      <c r="L798" s="5" t="str">
        <f>IFERROR(__xludf.DUMMYFUNCTION("""COMPUTED_VALUE"""),"Comoros")</f>
        <v>Comoros</v>
      </c>
      <c r="M798" s="5" t="str">
        <f>IFERROR(__xludf.DUMMYFUNCTION("""COMPUTED_VALUE"""),"Europe &amp; Central Asia")</f>
        <v>Europe &amp; Central Asia</v>
      </c>
      <c r="N798" s="5" t="str">
        <f>IFERROR(__xludf.DUMMYFUNCTION("""COMPUTED_VALUE"""),"Asia-Pacific")</f>
        <v>Asia-Pacific</v>
      </c>
      <c r="O798" s="5" t="str">
        <f>IFERROR(__xludf.DUMMYFUNCTION("""COMPUTED_VALUE"""),"developing")</f>
        <v>developing</v>
      </c>
      <c r="P798" s="5"/>
      <c r="Q798" s="5"/>
    </row>
    <row r="799">
      <c r="A799" s="5" t="str">
        <f>IFERROR(__xludf.DUMMYFUNCTION("""COMPUTED_VALUE"""),"Outbound")</f>
        <v>Outbound</v>
      </c>
      <c r="B799" s="5">
        <f>IFERROR(__xludf.DUMMYFUNCTION("""COMPUTED_VALUE"""),308.0)</f>
        <v>308</v>
      </c>
      <c r="C799" s="5" t="str">
        <f>IFERROR(__xludf.DUMMYFUNCTION("""COMPUTED_VALUE"""),"MEHMET BEY")</f>
        <v>MEHMET BEY</v>
      </c>
      <c r="D799" s="5">
        <f>IFERROR(__xludf.DUMMYFUNCTION("""COMPUTED_VALUE"""),9045601.0)</f>
        <v>9045601</v>
      </c>
      <c r="E799" s="5" t="str">
        <f>IFERROR(__xludf.DUMMYFUNCTION("""COMPUTED_VALUE"""),"Yuzhny/Pivdennyi")</f>
        <v>Yuzhny/Pivdennyi</v>
      </c>
      <c r="F799" s="5" t="str">
        <f>IFERROR(__xludf.DUMMYFUNCTION("""COMPUTED_VALUE"""),"Egypt")</f>
        <v>Egypt</v>
      </c>
      <c r="G799" s="5" t="str">
        <f>IFERROR(__xludf.DUMMYFUNCTION("""COMPUTED_VALUE"""),"Soya beans")</f>
        <v>Soya beans</v>
      </c>
      <c r="H799" s="6">
        <f>IFERROR(__xludf.DUMMYFUNCTION("""COMPUTED_VALUE"""),7600.0)</f>
        <v>7600</v>
      </c>
      <c r="I799" s="7">
        <f>IFERROR(__xludf.DUMMYFUNCTION("""COMPUTED_VALUE"""),44844.0)</f>
        <v>44844</v>
      </c>
      <c r="J799" s="7">
        <f>IFERROR(__xludf.DUMMYFUNCTION("""COMPUTED_VALUE"""),44865.0)</f>
        <v>44865</v>
      </c>
      <c r="K799" s="5" t="str">
        <f>IFERROR(__xludf.DUMMYFUNCTION("""COMPUTED_VALUE"""),"lower-middle income")</f>
        <v>lower-middle income</v>
      </c>
      <c r="L799" s="5" t="str">
        <f>IFERROR(__xludf.DUMMYFUNCTION("""COMPUTED_VALUE"""),"Malta")</f>
        <v>Malta</v>
      </c>
      <c r="M799" s="5" t="str">
        <f>IFERROR(__xludf.DUMMYFUNCTION("""COMPUTED_VALUE"""),"Middle East &amp; North Africa")</f>
        <v>Middle East &amp; North Africa</v>
      </c>
      <c r="N799" s="5" t="str">
        <f>IFERROR(__xludf.DUMMYFUNCTION("""COMPUTED_VALUE"""),"Africa")</f>
        <v>Africa</v>
      </c>
      <c r="O799" s="5" t="str">
        <f>IFERROR(__xludf.DUMMYFUNCTION("""COMPUTED_VALUE"""),"developing")</f>
        <v>developing</v>
      </c>
      <c r="P799" s="5"/>
      <c r="Q799" s="5"/>
    </row>
    <row r="800">
      <c r="A800" s="5" t="str">
        <f>IFERROR(__xludf.DUMMYFUNCTION("""COMPUTED_VALUE"""),"Outbound")</f>
        <v>Outbound</v>
      </c>
      <c r="B800" s="5">
        <f>IFERROR(__xludf.DUMMYFUNCTION("""COMPUTED_VALUE"""),307.0)</f>
        <v>307</v>
      </c>
      <c r="C800" s="5" t="str">
        <f>IFERROR(__xludf.DUMMYFUNCTION("""COMPUTED_VALUE"""),"JAGUAR")</f>
        <v>JAGUAR</v>
      </c>
      <c r="D800" s="5">
        <f>IFERROR(__xludf.DUMMYFUNCTION("""COMPUTED_VALUE"""),7726990.0)</f>
        <v>7726990</v>
      </c>
      <c r="E800" s="5" t="str">
        <f>IFERROR(__xludf.DUMMYFUNCTION("""COMPUTED_VALUE"""),"Yuzhny/Pivdennyi")</f>
        <v>Yuzhny/Pivdennyi</v>
      </c>
      <c r="F800" s="5" t="str">
        <f>IFERROR(__xludf.DUMMYFUNCTION("""COMPUTED_VALUE"""),"Türkiye")</f>
        <v>Türkiye</v>
      </c>
      <c r="G800" s="5" t="str">
        <f>IFERROR(__xludf.DUMMYFUNCTION("""COMPUTED_VALUE"""),"Barley")</f>
        <v>Barley</v>
      </c>
      <c r="H800" s="6">
        <f>IFERROR(__xludf.DUMMYFUNCTION("""COMPUTED_VALUE"""),2500.0)</f>
        <v>2500</v>
      </c>
      <c r="I800" s="7">
        <f>IFERROR(__xludf.DUMMYFUNCTION("""COMPUTED_VALUE"""),44844.0)</f>
        <v>44844</v>
      </c>
      <c r="J800" s="7">
        <f>IFERROR(__xludf.DUMMYFUNCTION("""COMPUTED_VALUE"""),44864.0)</f>
        <v>44864</v>
      </c>
      <c r="K800" s="5" t="str">
        <f>IFERROR(__xludf.DUMMYFUNCTION("""COMPUTED_VALUE"""),"upper-middle-income")</f>
        <v>upper-middle-income</v>
      </c>
      <c r="L800" s="5" t="str">
        <f>IFERROR(__xludf.DUMMYFUNCTION("""COMPUTED_VALUE"""),"Palau")</f>
        <v>Palau</v>
      </c>
      <c r="M800" s="5" t="str">
        <f>IFERROR(__xludf.DUMMYFUNCTION("""COMPUTED_VALUE"""),"Europe &amp; Central Asia")</f>
        <v>Europe &amp; Central Asia</v>
      </c>
      <c r="N800" s="5" t="str">
        <f>IFERROR(__xludf.DUMMYFUNCTION("""COMPUTED_VALUE"""),"Asia-Pacific")</f>
        <v>Asia-Pacific</v>
      </c>
      <c r="O800" s="5" t="str">
        <f>IFERROR(__xludf.DUMMYFUNCTION("""COMPUTED_VALUE"""),"developing")</f>
        <v>developing</v>
      </c>
      <c r="P800" s="5"/>
      <c r="Q800" s="5"/>
    </row>
    <row r="801">
      <c r="A801" s="5" t="str">
        <f>IFERROR(__xludf.DUMMYFUNCTION("""COMPUTED_VALUE"""),"Outbound")</f>
        <v>Outbound</v>
      </c>
      <c r="B801" s="5">
        <f>IFERROR(__xludf.DUMMYFUNCTION("""COMPUTED_VALUE"""),306.0)</f>
        <v>306</v>
      </c>
      <c r="C801" s="5" t="str">
        <f>IFERROR(__xludf.DUMMYFUNCTION("""COMPUTED_VALUE"""),"ISLANDER A")</f>
        <v>ISLANDER A</v>
      </c>
      <c r="D801" s="5">
        <f>IFERROR(__xludf.DUMMYFUNCTION("""COMPUTED_VALUE"""),9190987.0)</f>
        <v>9190987</v>
      </c>
      <c r="E801" s="5" t="str">
        <f>IFERROR(__xludf.DUMMYFUNCTION("""COMPUTED_VALUE"""),"Odesa")</f>
        <v>Odesa</v>
      </c>
      <c r="F801" s="5" t="str">
        <f>IFERROR(__xludf.DUMMYFUNCTION("""COMPUTED_VALUE"""),"Türkiye")</f>
        <v>Türkiye</v>
      </c>
      <c r="G801" s="5" t="str">
        <f>IFERROR(__xludf.DUMMYFUNCTION("""COMPUTED_VALUE"""),"Wheat")</f>
        <v>Wheat</v>
      </c>
      <c r="H801" s="6">
        <f>IFERROR(__xludf.DUMMYFUNCTION("""COMPUTED_VALUE"""),7200.0)</f>
        <v>7200</v>
      </c>
      <c r="I801" s="7">
        <f>IFERROR(__xludf.DUMMYFUNCTION("""COMPUTED_VALUE"""),44844.0)</f>
        <v>44844</v>
      </c>
      <c r="J801" s="7">
        <f>IFERROR(__xludf.DUMMYFUNCTION("""COMPUTED_VALUE"""),44862.0)</f>
        <v>44862</v>
      </c>
      <c r="K801" s="5" t="str">
        <f>IFERROR(__xludf.DUMMYFUNCTION("""COMPUTED_VALUE"""),"upper-middle-income")</f>
        <v>upper-middle-income</v>
      </c>
      <c r="L801" s="5" t="str">
        <f>IFERROR(__xludf.DUMMYFUNCTION("""COMPUTED_VALUE"""),"Palau")</f>
        <v>Palau</v>
      </c>
      <c r="M801" s="5" t="str">
        <f>IFERROR(__xludf.DUMMYFUNCTION("""COMPUTED_VALUE"""),"Europe &amp; Central Asia")</f>
        <v>Europe &amp; Central Asia</v>
      </c>
      <c r="N801" s="5" t="str">
        <f>IFERROR(__xludf.DUMMYFUNCTION("""COMPUTED_VALUE"""),"Asia-Pacific")</f>
        <v>Asia-Pacific</v>
      </c>
      <c r="O801" s="5" t="str">
        <f>IFERROR(__xludf.DUMMYFUNCTION("""COMPUTED_VALUE"""),"developing")</f>
        <v>developing</v>
      </c>
      <c r="P801" s="5"/>
      <c r="Q801" s="5"/>
    </row>
    <row r="802">
      <c r="A802" s="5" t="str">
        <f>IFERROR(__xludf.DUMMYFUNCTION("""COMPUTED_VALUE"""),"Outbound")</f>
        <v>Outbound</v>
      </c>
      <c r="B802" s="5">
        <f>IFERROR(__xludf.DUMMYFUNCTION("""COMPUTED_VALUE"""),305.0)</f>
        <v>305</v>
      </c>
      <c r="C802" s="5" t="str">
        <f>IFERROR(__xludf.DUMMYFUNCTION("""COMPUTED_VALUE"""),"EKMEN TRANS")</f>
        <v>EKMEN TRANS</v>
      </c>
      <c r="D802" s="5">
        <f>IFERROR(__xludf.DUMMYFUNCTION("""COMPUTED_VALUE"""),9204348.0)</f>
        <v>9204348</v>
      </c>
      <c r="E802" s="5" t="str">
        <f>IFERROR(__xludf.DUMMYFUNCTION("""COMPUTED_VALUE"""),"Chornomorsk")</f>
        <v>Chornomorsk</v>
      </c>
      <c r="F802" s="5" t="str">
        <f>IFERROR(__xludf.DUMMYFUNCTION("""COMPUTED_VALUE"""),"Israel")</f>
        <v>Israel</v>
      </c>
      <c r="G802" s="5" t="str">
        <f>IFERROR(__xludf.DUMMYFUNCTION("""COMPUTED_VALUE"""),"Rapeseed meal")</f>
        <v>Rapeseed meal</v>
      </c>
      <c r="H802" s="6">
        <f>IFERROR(__xludf.DUMMYFUNCTION("""COMPUTED_VALUE"""),5550.0)</f>
        <v>5550</v>
      </c>
      <c r="I802" s="7">
        <f>IFERROR(__xludf.DUMMYFUNCTION("""COMPUTED_VALUE"""),44844.0)</f>
        <v>44844</v>
      </c>
      <c r="J802" s="7">
        <f>IFERROR(__xludf.DUMMYFUNCTION("""COMPUTED_VALUE"""),44859.0)</f>
        <v>44859</v>
      </c>
      <c r="K802" s="5" t="str">
        <f>IFERROR(__xludf.DUMMYFUNCTION("""COMPUTED_VALUE"""),"high-income")</f>
        <v>high-income</v>
      </c>
      <c r="L802" s="5" t="str">
        <f>IFERROR(__xludf.DUMMYFUNCTION("""COMPUTED_VALUE"""),"Barbados")</f>
        <v>Barbados</v>
      </c>
      <c r="M802" s="5" t="str">
        <f>IFERROR(__xludf.DUMMYFUNCTION("""COMPUTED_VALUE"""),"Middle East &amp; North Africa")</f>
        <v>Middle East &amp; North Africa</v>
      </c>
      <c r="N802" s="5" t="str">
        <f>IFERROR(__xludf.DUMMYFUNCTION("""COMPUTED_VALUE"""),"Western Europe and Others")</f>
        <v>Western Europe and Others</v>
      </c>
      <c r="O802" s="5" t="str">
        <f>IFERROR(__xludf.DUMMYFUNCTION("""COMPUTED_VALUE"""),"developed")</f>
        <v>developed</v>
      </c>
      <c r="P802" s="5"/>
      <c r="Q802" s="5"/>
    </row>
    <row r="803">
      <c r="A803" s="5" t="str">
        <f>IFERROR(__xludf.DUMMYFUNCTION("""COMPUTED_VALUE"""),"Outbound")</f>
        <v>Outbound</v>
      </c>
      <c r="B803" s="5">
        <f>IFERROR(__xludf.DUMMYFUNCTION("""COMPUTED_VALUE"""),304.0)</f>
        <v>304</v>
      </c>
      <c r="C803" s="5" t="str">
        <f>IFERROR(__xludf.DUMMYFUNCTION("""COMPUTED_VALUE"""),"BLUE SHARK")</f>
        <v>BLUE SHARK</v>
      </c>
      <c r="D803" s="5">
        <f>IFERROR(__xludf.DUMMYFUNCTION("""COMPUTED_VALUE"""),9003770.0)</f>
        <v>9003770</v>
      </c>
      <c r="E803" s="5" t="str">
        <f>IFERROR(__xludf.DUMMYFUNCTION("""COMPUTED_VALUE"""),"Chornomorsk")</f>
        <v>Chornomorsk</v>
      </c>
      <c r="F803" s="5" t="str">
        <f>IFERROR(__xludf.DUMMYFUNCTION("""COMPUTED_VALUE"""),"Türkiye")</f>
        <v>Türkiye</v>
      </c>
      <c r="G803" s="5" t="str">
        <f>IFERROR(__xludf.DUMMYFUNCTION("""COMPUTED_VALUE"""),"Soya beans")</f>
        <v>Soya beans</v>
      </c>
      <c r="H803" s="6">
        <f>IFERROR(__xludf.DUMMYFUNCTION("""COMPUTED_VALUE"""),3400.0)</f>
        <v>3400</v>
      </c>
      <c r="I803" s="7">
        <f>IFERROR(__xludf.DUMMYFUNCTION("""COMPUTED_VALUE"""),44844.0)</f>
        <v>44844</v>
      </c>
      <c r="J803" s="7">
        <f>IFERROR(__xludf.DUMMYFUNCTION("""COMPUTED_VALUE"""),44864.0)</f>
        <v>44864</v>
      </c>
      <c r="K803" s="5" t="str">
        <f>IFERROR(__xludf.DUMMYFUNCTION("""COMPUTED_VALUE"""),"upper-middle-income")</f>
        <v>upper-middle-income</v>
      </c>
      <c r="L803" s="5" t="str">
        <f>IFERROR(__xludf.DUMMYFUNCTION("""COMPUTED_VALUE"""),"Equatorial Guinea")</f>
        <v>Equatorial Guinea</v>
      </c>
      <c r="M803" s="5" t="str">
        <f>IFERROR(__xludf.DUMMYFUNCTION("""COMPUTED_VALUE"""),"Europe &amp; Central Asia")</f>
        <v>Europe &amp; Central Asia</v>
      </c>
      <c r="N803" s="5" t="str">
        <f>IFERROR(__xludf.DUMMYFUNCTION("""COMPUTED_VALUE"""),"Asia-Pacific")</f>
        <v>Asia-Pacific</v>
      </c>
      <c r="O803" s="5" t="str">
        <f>IFERROR(__xludf.DUMMYFUNCTION("""COMPUTED_VALUE"""),"developing")</f>
        <v>developing</v>
      </c>
      <c r="P803" s="5"/>
      <c r="Q803" s="5"/>
    </row>
    <row r="804">
      <c r="A804" s="5" t="str">
        <f>IFERROR(__xludf.DUMMYFUNCTION("""COMPUTED_VALUE"""),"Outbound")</f>
        <v>Outbound</v>
      </c>
      <c r="B804" s="5">
        <f>IFERROR(__xludf.DUMMYFUNCTION("""COMPUTED_VALUE"""),303.0)</f>
        <v>303</v>
      </c>
      <c r="C804" s="5" t="str">
        <f>IFERROR(__xludf.DUMMYFUNCTION("""COMPUTED_VALUE"""),"BASEL ATHENA")</f>
        <v>BASEL ATHENA</v>
      </c>
      <c r="D804" s="5">
        <f>IFERROR(__xludf.DUMMYFUNCTION("""COMPUTED_VALUE"""),9164809.0)</f>
        <v>9164809</v>
      </c>
      <c r="E804" s="5" t="str">
        <f>IFERROR(__xludf.DUMMYFUNCTION("""COMPUTED_VALUE"""),"Odesa")</f>
        <v>Odesa</v>
      </c>
      <c r="F804" s="5" t="str">
        <f>IFERROR(__xludf.DUMMYFUNCTION("""COMPUTED_VALUE"""),"Türkiye")</f>
        <v>Türkiye</v>
      </c>
      <c r="G804" s="5" t="str">
        <f>IFERROR(__xludf.DUMMYFUNCTION("""COMPUTED_VALUE"""),"Wheat")</f>
        <v>Wheat</v>
      </c>
      <c r="H804" s="6">
        <f>IFERROR(__xludf.DUMMYFUNCTION("""COMPUTED_VALUE"""),19000.0)</f>
        <v>19000</v>
      </c>
      <c r="I804" s="7">
        <f>IFERROR(__xludf.DUMMYFUNCTION("""COMPUTED_VALUE"""),44844.0)</f>
        <v>44844</v>
      </c>
      <c r="J804" s="7">
        <f>IFERROR(__xludf.DUMMYFUNCTION("""COMPUTED_VALUE"""),44862.0)</f>
        <v>44862</v>
      </c>
      <c r="K804" s="5" t="str">
        <f>IFERROR(__xludf.DUMMYFUNCTION("""COMPUTED_VALUE"""),"upper-middle-income")</f>
        <v>upper-middle-income</v>
      </c>
      <c r="L804" s="5" t="str">
        <f>IFERROR(__xludf.DUMMYFUNCTION("""COMPUTED_VALUE"""),"Panama")</f>
        <v>Panama</v>
      </c>
      <c r="M804" s="5" t="str">
        <f>IFERROR(__xludf.DUMMYFUNCTION("""COMPUTED_VALUE"""),"Europe &amp; Central Asia")</f>
        <v>Europe &amp; Central Asia</v>
      </c>
      <c r="N804" s="5" t="str">
        <f>IFERROR(__xludf.DUMMYFUNCTION("""COMPUTED_VALUE"""),"Asia-Pacific")</f>
        <v>Asia-Pacific</v>
      </c>
      <c r="O804" s="5" t="str">
        <f>IFERROR(__xludf.DUMMYFUNCTION("""COMPUTED_VALUE"""),"developing")</f>
        <v>developing</v>
      </c>
      <c r="P804" s="5"/>
      <c r="Q804" s="5"/>
    </row>
    <row r="805">
      <c r="A805" s="5" t="str">
        <f>IFERROR(__xludf.DUMMYFUNCTION("""COMPUTED_VALUE"""),"Outbound")</f>
        <v>Outbound</v>
      </c>
      <c r="B805" s="5">
        <f>IFERROR(__xludf.DUMMYFUNCTION("""COMPUTED_VALUE"""),302.0)</f>
        <v>302</v>
      </c>
      <c r="C805" s="5" t="str">
        <f>IFERROR(__xludf.DUMMYFUNCTION("""COMPUTED_VALUE"""),"WAEL K")</f>
        <v>WAEL K</v>
      </c>
      <c r="D805" s="5">
        <f>IFERROR(__xludf.DUMMYFUNCTION("""COMPUTED_VALUE"""),9001148.0)</f>
        <v>9001148</v>
      </c>
      <c r="E805" s="5" t="str">
        <f>IFERROR(__xludf.DUMMYFUNCTION("""COMPUTED_VALUE"""),"Chornomorsk")</f>
        <v>Chornomorsk</v>
      </c>
      <c r="F805" s="5" t="str">
        <f>IFERROR(__xludf.DUMMYFUNCTION("""COMPUTED_VALUE"""),"Italy")</f>
        <v>Italy</v>
      </c>
      <c r="G805" s="5" t="str">
        <f>IFERROR(__xludf.DUMMYFUNCTION("""COMPUTED_VALUE"""),"Sunflower pellets")</f>
        <v>Sunflower pellets</v>
      </c>
      <c r="H805" s="6">
        <f>IFERROR(__xludf.DUMMYFUNCTION("""COMPUTED_VALUE"""),6000.0)</f>
        <v>6000</v>
      </c>
      <c r="I805" s="7">
        <f>IFERROR(__xludf.DUMMYFUNCTION("""COMPUTED_VALUE"""),44843.0)</f>
        <v>44843</v>
      </c>
      <c r="J805" s="7">
        <f>IFERROR(__xludf.DUMMYFUNCTION("""COMPUTED_VALUE"""),44858.0)</f>
        <v>44858</v>
      </c>
      <c r="K805" s="5" t="str">
        <f>IFERROR(__xludf.DUMMYFUNCTION("""COMPUTED_VALUE"""),"high-income")</f>
        <v>high-income</v>
      </c>
      <c r="L805" s="5" t="str">
        <f>IFERROR(__xludf.DUMMYFUNCTION("""COMPUTED_VALUE"""),"St. Kitts and Nevis")</f>
        <v>St. Kitts and Nevis</v>
      </c>
      <c r="M805" s="5" t="str">
        <f>IFERROR(__xludf.DUMMYFUNCTION("""COMPUTED_VALUE"""),"Europe &amp; Central Asia")</f>
        <v>Europe &amp; Central Asia</v>
      </c>
      <c r="N805" s="5" t="str">
        <f>IFERROR(__xludf.DUMMYFUNCTION("""COMPUTED_VALUE"""),"Western Europe and Others")</f>
        <v>Western Europe and Others</v>
      </c>
      <c r="O805" s="5" t="str">
        <f>IFERROR(__xludf.DUMMYFUNCTION("""COMPUTED_VALUE"""),"developed")</f>
        <v>developed</v>
      </c>
      <c r="P805" s="5"/>
      <c r="Q805" s="5"/>
    </row>
    <row r="806">
      <c r="A806" s="5" t="str">
        <f>IFERROR(__xludf.DUMMYFUNCTION("""COMPUTED_VALUE"""),"Outbound")</f>
        <v>Outbound</v>
      </c>
      <c r="B806" s="5">
        <f>IFERROR(__xludf.DUMMYFUNCTION("""COMPUTED_VALUE"""),301.0)</f>
        <v>301</v>
      </c>
      <c r="C806" s="5" t="str">
        <f>IFERROR(__xludf.DUMMYFUNCTION("""COMPUTED_VALUE"""),"STAR SAPPHIRE")</f>
        <v>STAR SAPPHIRE</v>
      </c>
      <c r="D806" s="5">
        <f>IFERROR(__xludf.DUMMYFUNCTION("""COMPUTED_VALUE"""),9860037.0)</f>
        <v>9860037</v>
      </c>
      <c r="E806" s="5" t="str">
        <f>IFERROR(__xludf.DUMMYFUNCTION("""COMPUTED_VALUE"""),"Chornomorsk")</f>
        <v>Chornomorsk</v>
      </c>
      <c r="F806" s="5" t="str">
        <f>IFERROR(__xludf.DUMMYFUNCTION("""COMPUTED_VALUE"""),"Italy")</f>
        <v>Italy</v>
      </c>
      <c r="G806" s="5" t="str">
        <f>IFERROR(__xludf.DUMMYFUNCTION("""COMPUTED_VALUE"""),"Corn")</f>
        <v>Corn</v>
      </c>
      <c r="H806" s="6">
        <f>IFERROR(__xludf.DUMMYFUNCTION("""COMPUTED_VALUE"""),60000.0)</f>
        <v>60000</v>
      </c>
      <c r="I806" s="7">
        <f>IFERROR(__xludf.DUMMYFUNCTION("""COMPUTED_VALUE"""),44843.0)</f>
        <v>44843</v>
      </c>
      <c r="J806" s="7">
        <f>IFERROR(__xludf.DUMMYFUNCTION("""COMPUTED_VALUE"""),44862.0)</f>
        <v>44862</v>
      </c>
      <c r="K806" s="5" t="str">
        <f>IFERROR(__xludf.DUMMYFUNCTION("""COMPUTED_VALUE"""),"high-income")</f>
        <v>high-income</v>
      </c>
      <c r="L806" s="5" t="str">
        <f>IFERROR(__xludf.DUMMYFUNCTION("""COMPUTED_VALUE"""),"Marshall Islands")</f>
        <v>Marshall Islands</v>
      </c>
      <c r="M806" s="5" t="str">
        <f>IFERROR(__xludf.DUMMYFUNCTION("""COMPUTED_VALUE"""),"Europe &amp; Central Asia")</f>
        <v>Europe &amp; Central Asia</v>
      </c>
      <c r="N806" s="5" t="str">
        <f>IFERROR(__xludf.DUMMYFUNCTION("""COMPUTED_VALUE"""),"Western Europe and Others")</f>
        <v>Western Europe and Others</v>
      </c>
      <c r="O806" s="5" t="str">
        <f>IFERROR(__xludf.DUMMYFUNCTION("""COMPUTED_VALUE"""),"developed")</f>
        <v>developed</v>
      </c>
      <c r="P806" s="5"/>
      <c r="Q806" s="5"/>
    </row>
    <row r="807">
      <c r="A807" s="5" t="str">
        <f>IFERROR(__xludf.DUMMYFUNCTION("""COMPUTED_VALUE"""),"Outbound")</f>
        <v>Outbound</v>
      </c>
      <c r="B807" s="5">
        <f>IFERROR(__xludf.DUMMYFUNCTION("""COMPUTED_VALUE"""),300.0)</f>
        <v>300</v>
      </c>
      <c r="C807" s="5" t="str">
        <f>IFERROR(__xludf.DUMMYFUNCTION("""COMPUTED_VALUE"""),"SAKAR")</f>
        <v>SAKAR</v>
      </c>
      <c r="D807" s="5">
        <f>IFERROR(__xludf.DUMMYFUNCTION("""COMPUTED_VALUE"""),9104811.0)</f>
        <v>9104811</v>
      </c>
      <c r="E807" s="5" t="str">
        <f>IFERROR(__xludf.DUMMYFUNCTION("""COMPUTED_VALUE"""),"Odesa")</f>
        <v>Odesa</v>
      </c>
      <c r="F807" s="5" t="str">
        <f>IFERROR(__xludf.DUMMYFUNCTION("""COMPUTED_VALUE"""),"Italy")</f>
        <v>Italy</v>
      </c>
      <c r="G807" s="5" t="str">
        <f>IFERROR(__xludf.DUMMYFUNCTION("""COMPUTED_VALUE"""),"Wheat")</f>
        <v>Wheat</v>
      </c>
      <c r="H807" s="6">
        <f>IFERROR(__xludf.DUMMYFUNCTION("""COMPUTED_VALUE"""),18700.0)</f>
        <v>18700</v>
      </c>
      <c r="I807" s="7">
        <f>IFERROR(__xludf.DUMMYFUNCTION("""COMPUTED_VALUE"""),44843.0)</f>
        <v>44843</v>
      </c>
      <c r="J807" s="7">
        <f>IFERROR(__xludf.DUMMYFUNCTION("""COMPUTED_VALUE"""),44864.0)</f>
        <v>44864</v>
      </c>
      <c r="K807" s="5" t="str">
        <f>IFERROR(__xludf.DUMMYFUNCTION("""COMPUTED_VALUE"""),"high-income")</f>
        <v>high-income</v>
      </c>
      <c r="L807" s="5" t="str">
        <f>IFERROR(__xludf.DUMMYFUNCTION("""COMPUTED_VALUE"""),"Bulgaria")</f>
        <v>Bulgaria</v>
      </c>
      <c r="M807" s="5" t="str">
        <f>IFERROR(__xludf.DUMMYFUNCTION("""COMPUTED_VALUE"""),"Europe &amp; Central Asia")</f>
        <v>Europe &amp; Central Asia</v>
      </c>
      <c r="N807" s="5" t="str">
        <f>IFERROR(__xludf.DUMMYFUNCTION("""COMPUTED_VALUE"""),"Western Europe and Others")</f>
        <v>Western Europe and Others</v>
      </c>
      <c r="O807" s="5" t="str">
        <f>IFERROR(__xludf.DUMMYFUNCTION("""COMPUTED_VALUE"""),"developed")</f>
        <v>developed</v>
      </c>
      <c r="P807" s="5"/>
      <c r="Q807" s="5"/>
    </row>
    <row r="808">
      <c r="A808" s="5" t="str">
        <f>IFERROR(__xludf.DUMMYFUNCTION("""COMPUTED_VALUE"""),"Outbound")</f>
        <v>Outbound</v>
      </c>
      <c r="B808" s="5">
        <f>IFERROR(__xludf.DUMMYFUNCTION("""COMPUTED_VALUE"""),299.0)</f>
        <v>299</v>
      </c>
      <c r="C808" s="5" t="str">
        <f>IFERROR(__xludf.DUMMYFUNCTION("""COMPUTED_VALUE"""),"ORIS PRINCESS")</f>
        <v>ORIS PRINCESS</v>
      </c>
      <c r="D808" s="5">
        <f>IFERROR(__xludf.DUMMYFUNCTION("""COMPUTED_VALUE"""),9119907.0)</f>
        <v>9119907</v>
      </c>
      <c r="E808" s="5" t="str">
        <f>IFERROR(__xludf.DUMMYFUNCTION("""COMPUTED_VALUE"""),"Chornomorsk")</f>
        <v>Chornomorsk</v>
      </c>
      <c r="F808" s="5" t="str">
        <f>IFERROR(__xludf.DUMMYFUNCTION("""COMPUTED_VALUE"""),"Israel")</f>
        <v>Israel</v>
      </c>
      <c r="G808" s="5" t="str">
        <f>IFERROR(__xludf.DUMMYFUNCTION("""COMPUTED_VALUE"""),"Sunflower meal")</f>
        <v>Sunflower meal</v>
      </c>
      <c r="H808" s="6">
        <f>IFERROR(__xludf.DUMMYFUNCTION("""COMPUTED_VALUE"""),4050.0)</f>
        <v>4050</v>
      </c>
      <c r="I808" s="7">
        <f>IFERROR(__xludf.DUMMYFUNCTION("""COMPUTED_VALUE"""),44843.0)</f>
        <v>44843</v>
      </c>
      <c r="J808" s="7">
        <f>IFERROR(__xludf.DUMMYFUNCTION("""COMPUTED_VALUE"""),44859.0)</f>
        <v>44859</v>
      </c>
      <c r="K808" s="5" t="str">
        <f>IFERROR(__xludf.DUMMYFUNCTION("""COMPUTED_VALUE"""),"high-income")</f>
        <v>high-income</v>
      </c>
      <c r="L808" s="5" t="str">
        <f>IFERROR(__xludf.DUMMYFUNCTION("""COMPUTED_VALUE"""),"Panama")</f>
        <v>Panama</v>
      </c>
      <c r="M808" s="5" t="str">
        <f>IFERROR(__xludf.DUMMYFUNCTION("""COMPUTED_VALUE"""),"Middle East &amp; North Africa")</f>
        <v>Middle East &amp; North Africa</v>
      </c>
      <c r="N808" s="5" t="str">
        <f>IFERROR(__xludf.DUMMYFUNCTION("""COMPUTED_VALUE"""),"Western Europe and Others")</f>
        <v>Western Europe and Others</v>
      </c>
      <c r="O808" s="5" t="str">
        <f>IFERROR(__xludf.DUMMYFUNCTION("""COMPUTED_VALUE"""),"developed")</f>
        <v>developed</v>
      </c>
      <c r="P808" s="5"/>
      <c r="Q808" s="5"/>
    </row>
    <row r="809">
      <c r="A809" s="5" t="str">
        <f>IFERROR(__xludf.DUMMYFUNCTION("""COMPUTED_VALUE"""),"Outbound")</f>
        <v>Outbound</v>
      </c>
      <c r="B809" s="5">
        <f>IFERROR(__xludf.DUMMYFUNCTION("""COMPUTED_VALUE"""),298.0)</f>
        <v>298</v>
      </c>
      <c r="C809" s="5" t="str">
        <f>IFERROR(__xludf.DUMMYFUNCTION("""COMPUTED_VALUE"""),"MERCURIUS")</f>
        <v>MERCURIUS</v>
      </c>
      <c r="D809" s="5">
        <f>IFERROR(__xludf.DUMMYFUNCTION("""COMPUTED_VALUE"""),9580091.0)</f>
        <v>9580091</v>
      </c>
      <c r="E809" s="5" t="str">
        <f>IFERROR(__xludf.DUMMYFUNCTION("""COMPUTED_VALUE"""),"Chornomorsk")</f>
        <v>Chornomorsk</v>
      </c>
      <c r="F809" s="5" t="str">
        <f>IFERROR(__xludf.DUMMYFUNCTION("""COMPUTED_VALUE"""),"Italy")</f>
        <v>Italy</v>
      </c>
      <c r="G809" s="5" t="str">
        <f>IFERROR(__xludf.DUMMYFUNCTION("""COMPUTED_VALUE"""),"Corn")</f>
        <v>Corn</v>
      </c>
      <c r="H809" s="6">
        <f>IFERROR(__xludf.DUMMYFUNCTION("""COMPUTED_VALUE"""),33400.0)</f>
        <v>33400</v>
      </c>
      <c r="I809" s="7">
        <f>IFERROR(__xludf.DUMMYFUNCTION("""COMPUTED_VALUE"""),44843.0)</f>
        <v>44843</v>
      </c>
      <c r="J809" s="7">
        <f>IFERROR(__xludf.DUMMYFUNCTION("""COMPUTED_VALUE"""),44859.0)</f>
        <v>44859</v>
      </c>
      <c r="K809" s="5" t="str">
        <f>IFERROR(__xludf.DUMMYFUNCTION("""COMPUTED_VALUE"""),"high-income")</f>
        <v>high-income</v>
      </c>
      <c r="L809" s="5" t="str">
        <f>IFERROR(__xludf.DUMMYFUNCTION("""COMPUTED_VALUE"""),"Marshall Islands")</f>
        <v>Marshall Islands</v>
      </c>
      <c r="M809" s="5" t="str">
        <f>IFERROR(__xludf.DUMMYFUNCTION("""COMPUTED_VALUE"""),"Europe &amp; Central Asia")</f>
        <v>Europe &amp; Central Asia</v>
      </c>
      <c r="N809" s="5" t="str">
        <f>IFERROR(__xludf.DUMMYFUNCTION("""COMPUTED_VALUE"""),"Western Europe and Others")</f>
        <v>Western Europe and Others</v>
      </c>
      <c r="O809" s="5" t="str">
        <f>IFERROR(__xludf.DUMMYFUNCTION("""COMPUTED_VALUE"""),"developed")</f>
        <v>developed</v>
      </c>
      <c r="P809" s="5"/>
      <c r="Q809" s="5"/>
    </row>
    <row r="810">
      <c r="A810" s="5" t="str">
        <f>IFERROR(__xludf.DUMMYFUNCTION("""COMPUTED_VALUE"""),"Outbound")</f>
        <v>Outbound</v>
      </c>
      <c r="B810" s="5">
        <f>IFERROR(__xludf.DUMMYFUNCTION("""COMPUTED_VALUE"""),297.0)</f>
        <v>297</v>
      </c>
      <c r="C810" s="5" t="str">
        <f>IFERROR(__xludf.DUMMYFUNCTION("""COMPUTED_VALUE"""),"HIRA V")</f>
        <v>HIRA V</v>
      </c>
      <c r="D810" s="5">
        <f>IFERROR(__xludf.DUMMYFUNCTION("""COMPUTED_VALUE"""),9217333.0)</f>
        <v>9217333</v>
      </c>
      <c r="E810" s="5" t="str">
        <f>IFERROR(__xludf.DUMMYFUNCTION("""COMPUTED_VALUE"""),"Yuzhny/Pivdennyi")</f>
        <v>Yuzhny/Pivdennyi</v>
      </c>
      <c r="F810" s="5" t="str">
        <f>IFERROR(__xludf.DUMMYFUNCTION("""COMPUTED_VALUE"""),"Spain")</f>
        <v>Spain</v>
      </c>
      <c r="G810" s="5" t="str">
        <f>IFERROR(__xludf.DUMMYFUNCTION("""COMPUTED_VALUE"""),"Sunflower oil")</f>
        <v>Sunflower oil</v>
      </c>
      <c r="H810" s="6">
        <f>IFERROR(__xludf.DUMMYFUNCTION("""COMPUTED_VALUE"""),6240.0)</f>
        <v>6240</v>
      </c>
      <c r="I810" s="7">
        <f>IFERROR(__xludf.DUMMYFUNCTION("""COMPUTED_VALUE"""),44843.0)</f>
        <v>44843</v>
      </c>
      <c r="J810" s="7">
        <f>IFERROR(__xludf.DUMMYFUNCTION("""COMPUTED_VALUE"""),44849.0)</f>
        <v>44849</v>
      </c>
      <c r="K810" s="5" t="str">
        <f>IFERROR(__xludf.DUMMYFUNCTION("""COMPUTED_VALUE"""),"high-income")</f>
        <v>high-income</v>
      </c>
      <c r="L810" s="5" t="str">
        <f>IFERROR(__xludf.DUMMYFUNCTION("""COMPUTED_VALUE"""),"Malta")</f>
        <v>Malta</v>
      </c>
      <c r="M810" s="5" t="str">
        <f>IFERROR(__xludf.DUMMYFUNCTION("""COMPUTED_VALUE"""),"Europe &amp; Central Asia")</f>
        <v>Europe &amp; Central Asia</v>
      </c>
      <c r="N810" s="5" t="str">
        <f>IFERROR(__xludf.DUMMYFUNCTION("""COMPUTED_VALUE"""),"Western Europe and Others")</f>
        <v>Western Europe and Others</v>
      </c>
      <c r="O810" s="5" t="str">
        <f>IFERROR(__xludf.DUMMYFUNCTION("""COMPUTED_VALUE"""),"developed")</f>
        <v>developed</v>
      </c>
      <c r="P810" s="5"/>
      <c r="Q810" s="5"/>
    </row>
    <row r="811">
      <c r="A811" s="5" t="str">
        <f>IFERROR(__xludf.DUMMYFUNCTION("""COMPUTED_VALUE"""),"Outbound")</f>
        <v>Outbound</v>
      </c>
      <c r="B811" s="5">
        <f>IFERROR(__xludf.DUMMYFUNCTION("""COMPUTED_VALUE"""),296.0)</f>
        <v>296</v>
      </c>
      <c r="C811" s="5" t="str">
        <f>IFERROR(__xludf.DUMMYFUNCTION("""COMPUTED_VALUE"""),"CKR ZEYNEP")</f>
        <v>CKR ZEYNEP</v>
      </c>
      <c r="D811" s="5">
        <f>IFERROR(__xludf.DUMMYFUNCTION("""COMPUTED_VALUE"""),9437854.0)</f>
        <v>9437854</v>
      </c>
      <c r="E811" s="5" t="str">
        <f>IFERROR(__xludf.DUMMYFUNCTION("""COMPUTED_VALUE"""),"Odesa")</f>
        <v>Odesa</v>
      </c>
      <c r="F811" s="5" t="str">
        <f>IFERROR(__xludf.DUMMYFUNCTION("""COMPUTED_VALUE"""),"Algeria")</f>
        <v>Algeria</v>
      </c>
      <c r="G811" s="5" t="str">
        <f>IFERROR(__xludf.DUMMYFUNCTION("""COMPUTED_VALUE"""),"Wheat")</f>
        <v>Wheat</v>
      </c>
      <c r="H811" s="6">
        <f>IFERROR(__xludf.DUMMYFUNCTION("""COMPUTED_VALUE"""),6050.0)</f>
        <v>6050</v>
      </c>
      <c r="I811" s="7">
        <f>IFERROR(__xludf.DUMMYFUNCTION("""COMPUTED_VALUE"""),44843.0)</f>
        <v>44843</v>
      </c>
      <c r="J811" s="7">
        <f>IFERROR(__xludf.DUMMYFUNCTION("""COMPUTED_VALUE"""),44858.0)</f>
        <v>44858</v>
      </c>
      <c r="K811" s="5" t="str">
        <f>IFERROR(__xludf.DUMMYFUNCTION("""COMPUTED_VALUE"""),"lower-middle income")</f>
        <v>lower-middle income</v>
      </c>
      <c r="L811" s="5" t="str">
        <f>IFERROR(__xludf.DUMMYFUNCTION("""COMPUTED_VALUE"""),"Vanuatu")</f>
        <v>Vanuatu</v>
      </c>
      <c r="M811" s="5" t="str">
        <f>IFERROR(__xludf.DUMMYFUNCTION("""COMPUTED_VALUE"""),"Middle East &amp; North Africa")</f>
        <v>Middle East &amp; North Africa</v>
      </c>
      <c r="N811" s="5" t="str">
        <f>IFERROR(__xludf.DUMMYFUNCTION("""COMPUTED_VALUE"""),"Africa")</f>
        <v>Africa</v>
      </c>
      <c r="O811" s="5" t="str">
        <f>IFERROR(__xludf.DUMMYFUNCTION("""COMPUTED_VALUE"""),"developing")</f>
        <v>developing</v>
      </c>
      <c r="P811" s="5"/>
      <c r="Q811" s="5"/>
    </row>
    <row r="812">
      <c r="A812" s="5" t="str">
        <f>IFERROR(__xludf.DUMMYFUNCTION("""COMPUTED_VALUE"""),"Outbound")</f>
        <v>Outbound</v>
      </c>
      <c r="B812" s="5">
        <f>IFERROR(__xludf.DUMMYFUNCTION("""COMPUTED_VALUE"""),295.0)</f>
        <v>295</v>
      </c>
      <c r="C812" s="5" t="str">
        <f>IFERROR(__xludf.DUMMYFUNCTION("""COMPUTED_VALUE"""),"BOYNE")</f>
        <v>BOYNE</v>
      </c>
      <c r="D812" s="5">
        <f>IFERROR(__xludf.DUMMYFUNCTION("""COMPUTED_VALUE"""),9369928.0)</f>
        <v>9369928</v>
      </c>
      <c r="E812" s="5" t="str">
        <f>IFERROR(__xludf.DUMMYFUNCTION("""COMPUTED_VALUE"""),"Odesa")</f>
        <v>Odesa</v>
      </c>
      <c r="F812" s="5" t="str">
        <f>IFERROR(__xludf.DUMMYFUNCTION("""COMPUTED_VALUE"""),"Spain")</f>
        <v>Spain</v>
      </c>
      <c r="G812" s="5" t="str">
        <f>IFERROR(__xludf.DUMMYFUNCTION("""COMPUTED_VALUE"""),"Sunflower oil")</f>
        <v>Sunflower oil</v>
      </c>
      <c r="H812" s="6">
        <f>IFERROR(__xludf.DUMMYFUNCTION("""COMPUTED_VALUE"""),5019.0)</f>
        <v>5019</v>
      </c>
      <c r="I812" s="7">
        <f>IFERROR(__xludf.DUMMYFUNCTION("""COMPUTED_VALUE"""),44843.0)</f>
        <v>44843</v>
      </c>
      <c r="J812" s="7">
        <f>IFERROR(__xludf.DUMMYFUNCTION("""COMPUTED_VALUE"""),44858.0)</f>
        <v>44858</v>
      </c>
      <c r="K812" s="5" t="str">
        <f>IFERROR(__xludf.DUMMYFUNCTION("""COMPUTED_VALUE"""),"high-income")</f>
        <v>high-income</v>
      </c>
      <c r="L812" s="5" t="str">
        <f>IFERROR(__xludf.DUMMYFUNCTION("""COMPUTED_VALUE"""),"Malta")</f>
        <v>Malta</v>
      </c>
      <c r="M812" s="5" t="str">
        <f>IFERROR(__xludf.DUMMYFUNCTION("""COMPUTED_VALUE"""),"Europe &amp; Central Asia")</f>
        <v>Europe &amp; Central Asia</v>
      </c>
      <c r="N812" s="5" t="str">
        <f>IFERROR(__xludf.DUMMYFUNCTION("""COMPUTED_VALUE"""),"Western Europe and Others")</f>
        <v>Western Europe and Others</v>
      </c>
      <c r="O812" s="5" t="str">
        <f>IFERROR(__xludf.DUMMYFUNCTION("""COMPUTED_VALUE"""),"developed")</f>
        <v>developed</v>
      </c>
      <c r="P812" s="5"/>
      <c r="Q812" s="5"/>
    </row>
    <row r="813">
      <c r="A813" s="5" t="str">
        <f>IFERROR(__xludf.DUMMYFUNCTION("""COMPUTED_VALUE"""),"Outbound")</f>
        <v>Outbound</v>
      </c>
      <c r="B813" s="5">
        <f>IFERROR(__xludf.DUMMYFUNCTION("""COMPUTED_VALUE"""),294.0)</f>
        <v>294</v>
      </c>
      <c r="C813" s="5" t="str">
        <f>IFERROR(__xludf.DUMMYFUNCTION("""COMPUTED_VALUE"""),"ARGONAUT")</f>
        <v>ARGONAUT</v>
      </c>
      <c r="D813" s="5">
        <f>IFERROR(__xludf.DUMMYFUNCTION("""COMPUTED_VALUE"""),9717694.0)</f>
        <v>9717694</v>
      </c>
      <c r="E813" s="5" t="str">
        <f>IFERROR(__xludf.DUMMYFUNCTION("""COMPUTED_VALUE"""),"Yuzhny/Pivdennyi")</f>
        <v>Yuzhny/Pivdennyi</v>
      </c>
      <c r="F813" s="5" t="str">
        <f>IFERROR(__xludf.DUMMYFUNCTION("""COMPUTED_VALUE"""),"Indonesia")</f>
        <v>Indonesia</v>
      </c>
      <c r="G813" s="5" t="str">
        <f>IFERROR(__xludf.DUMMYFUNCTION("""COMPUTED_VALUE"""),"Wheat")</f>
        <v>Wheat</v>
      </c>
      <c r="H813" s="6">
        <f>IFERROR(__xludf.DUMMYFUNCTION("""COMPUTED_VALUE"""),71155.0)</f>
        <v>71155</v>
      </c>
      <c r="I813" s="7">
        <f>IFERROR(__xludf.DUMMYFUNCTION("""COMPUTED_VALUE"""),44843.0)</f>
        <v>44843</v>
      </c>
      <c r="J813" s="7">
        <f>IFERROR(__xludf.DUMMYFUNCTION("""COMPUTED_VALUE"""),44864.0)</f>
        <v>44864</v>
      </c>
      <c r="K813" s="5" t="str">
        <f>IFERROR(__xludf.DUMMYFUNCTION("""COMPUTED_VALUE"""),"lower-middle income")</f>
        <v>lower-middle income</v>
      </c>
      <c r="L813" s="5" t="str">
        <f>IFERROR(__xludf.DUMMYFUNCTION("""COMPUTED_VALUE"""),"Marshall Islands")</f>
        <v>Marshall Islands</v>
      </c>
      <c r="M813" s="5" t="str">
        <f>IFERROR(__xludf.DUMMYFUNCTION("""COMPUTED_VALUE"""),"East Asia &amp; Pacific")</f>
        <v>East Asia &amp; Pacific</v>
      </c>
      <c r="N813" s="5" t="str">
        <f>IFERROR(__xludf.DUMMYFUNCTION("""COMPUTED_VALUE"""),"Asia-Pacific")</f>
        <v>Asia-Pacific</v>
      </c>
      <c r="O813" s="5" t="str">
        <f>IFERROR(__xludf.DUMMYFUNCTION("""COMPUTED_VALUE"""),"developing")</f>
        <v>developing</v>
      </c>
      <c r="P813" s="5"/>
      <c r="Q813" s="5"/>
    </row>
    <row r="814">
      <c r="A814" s="5" t="str">
        <f>IFERROR(__xludf.DUMMYFUNCTION("""COMPUTED_VALUE"""),"Outbound")</f>
        <v>Outbound</v>
      </c>
      <c r="B814" s="5">
        <f>IFERROR(__xludf.DUMMYFUNCTION("""COMPUTED_VALUE"""),293.0)</f>
        <v>293</v>
      </c>
      <c r="C814" s="5" t="str">
        <f>IFERROR(__xludf.DUMMYFUNCTION("""COMPUTED_VALUE"""),"ALI A")</f>
        <v>ALI A</v>
      </c>
      <c r="D814" s="5">
        <f>IFERROR(__xludf.DUMMYFUNCTION("""COMPUTED_VALUE"""),7915307.0)</f>
        <v>7915307</v>
      </c>
      <c r="E814" s="5" t="str">
        <f>IFERROR(__xludf.DUMMYFUNCTION("""COMPUTED_VALUE"""),"Yuzhny/Pivdennyi")</f>
        <v>Yuzhny/Pivdennyi</v>
      </c>
      <c r="F814" s="5" t="str">
        <f>IFERROR(__xludf.DUMMYFUNCTION("""COMPUTED_VALUE"""),"Lebanon")</f>
        <v>Lebanon</v>
      </c>
      <c r="G814" s="5" t="str">
        <f>IFERROR(__xludf.DUMMYFUNCTION("""COMPUTED_VALUE"""),"Wheat")</f>
        <v>Wheat</v>
      </c>
      <c r="H814" s="6">
        <f>IFERROR(__xludf.DUMMYFUNCTION("""COMPUTED_VALUE"""),6600.0)</f>
        <v>6600</v>
      </c>
      <c r="I814" s="7">
        <f>IFERROR(__xludf.DUMMYFUNCTION("""COMPUTED_VALUE"""),44843.0)</f>
        <v>44843</v>
      </c>
      <c r="J814" s="7">
        <f>IFERROR(__xludf.DUMMYFUNCTION("""COMPUTED_VALUE"""),44859.0)</f>
        <v>44859</v>
      </c>
      <c r="K814" s="5" t="str">
        <f>IFERROR(__xludf.DUMMYFUNCTION("""COMPUTED_VALUE"""),"lower-middle income")</f>
        <v>lower-middle income</v>
      </c>
      <c r="L814" s="5" t="str">
        <f>IFERROR(__xludf.DUMMYFUNCTION("""COMPUTED_VALUE"""),"Togo")</f>
        <v>Togo</v>
      </c>
      <c r="M814" s="5" t="str">
        <f>IFERROR(__xludf.DUMMYFUNCTION("""COMPUTED_VALUE"""),"Middle East &amp; North Africa")</f>
        <v>Middle East &amp; North Africa</v>
      </c>
      <c r="N814" s="5" t="str">
        <f>IFERROR(__xludf.DUMMYFUNCTION("""COMPUTED_VALUE"""),"Asia-Pacific")</f>
        <v>Asia-Pacific</v>
      </c>
      <c r="O814" s="5" t="str">
        <f>IFERROR(__xludf.DUMMYFUNCTION("""COMPUTED_VALUE"""),"developing")</f>
        <v>developing</v>
      </c>
      <c r="P814" s="5"/>
      <c r="Q814" s="5"/>
    </row>
    <row r="815">
      <c r="A815" s="5" t="str">
        <f>IFERROR(__xludf.DUMMYFUNCTION("""COMPUTED_VALUE"""),"Outbound")</f>
        <v>Outbound</v>
      </c>
      <c r="B815" s="5">
        <f>IFERROR(__xludf.DUMMYFUNCTION("""COMPUTED_VALUE"""),292.0)</f>
        <v>292</v>
      </c>
      <c r="C815" s="5" t="str">
        <f>IFERROR(__xludf.DUMMYFUNCTION("""COMPUTED_VALUE"""),"SHAMAN WISDOM")</f>
        <v>SHAMAN WISDOM</v>
      </c>
      <c r="D815" s="5">
        <f>IFERROR(__xludf.DUMMYFUNCTION("""COMPUTED_VALUE"""),9563407.0)</f>
        <v>9563407</v>
      </c>
      <c r="E815" s="5" t="str">
        <f>IFERROR(__xludf.DUMMYFUNCTION("""COMPUTED_VALUE"""),"Odesa")</f>
        <v>Odesa</v>
      </c>
      <c r="F815" s="5" t="str">
        <f>IFERROR(__xludf.DUMMYFUNCTION("""COMPUTED_VALUE"""),"Indonesia")</f>
        <v>Indonesia</v>
      </c>
      <c r="G815" s="5" t="str">
        <f>IFERROR(__xludf.DUMMYFUNCTION("""COMPUTED_VALUE"""),"Wheat")</f>
        <v>Wheat</v>
      </c>
      <c r="H815" s="6">
        <f>IFERROR(__xludf.DUMMYFUNCTION("""COMPUTED_VALUE"""),32600.0)</f>
        <v>32600</v>
      </c>
      <c r="I815" s="7">
        <f>IFERROR(__xludf.DUMMYFUNCTION("""COMPUTED_VALUE"""),44842.0)</f>
        <v>44842</v>
      </c>
      <c r="J815" s="7">
        <f>IFERROR(__xludf.DUMMYFUNCTION("""COMPUTED_VALUE"""),44865.0)</f>
        <v>44865</v>
      </c>
      <c r="K815" s="5" t="str">
        <f>IFERROR(__xludf.DUMMYFUNCTION("""COMPUTED_VALUE"""),"lower-middle income")</f>
        <v>lower-middle income</v>
      </c>
      <c r="L815" s="5" t="str">
        <f>IFERROR(__xludf.DUMMYFUNCTION("""COMPUTED_VALUE"""),"Marshall Islands")</f>
        <v>Marshall Islands</v>
      </c>
      <c r="M815" s="5" t="str">
        <f>IFERROR(__xludf.DUMMYFUNCTION("""COMPUTED_VALUE"""),"East Asia &amp; Pacific")</f>
        <v>East Asia &amp; Pacific</v>
      </c>
      <c r="N815" s="5" t="str">
        <f>IFERROR(__xludf.DUMMYFUNCTION("""COMPUTED_VALUE"""),"Asia-Pacific")</f>
        <v>Asia-Pacific</v>
      </c>
      <c r="O815" s="5" t="str">
        <f>IFERROR(__xludf.DUMMYFUNCTION("""COMPUTED_VALUE"""),"developing")</f>
        <v>developing</v>
      </c>
      <c r="P815" s="5"/>
      <c r="Q815" s="5"/>
    </row>
    <row r="816">
      <c r="A816" s="5" t="str">
        <f>IFERROR(__xludf.DUMMYFUNCTION("""COMPUTED_VALUE"""),"Outbound")</f>
        <v>Outbound</v>
      </c>
      <c r="B816" s="5">
        <f>IFERROR(__xludf.DUMMYFUNCTION("""COMPUTED_VALUE"""),291.0)</f>
        <v>291</v>
      </c>
      <c r="C816" s="5" t="str">
        <f>IFERROR(__xludf.DUMMYFUNCTION("""COMPUTED_VALUE"""),"ORIS SOFI")</f>
        <v>ORIS SOFI</v>
      </c>
      <c r="D816" s="5">
        <f>IFERROR(__xludf.DUMMYFUNCTION("""COMPUTED_VALUE"""),8920282.0)</f>
        <v>8920282</v>
      </c>
      <c r="E816" s="5" t="str">
        <f>IFERROR(__xludf.DUMMYFUNCTION("""COMPUTED_VALUE"""),"Odesa")</f>
        <v>Odesa</v>
      </c>
      <c r="F816" s="5" t="str">
        <f>IFERROR(__xludf.DUMMYFUNCTION("""COMPUTED_VALUE"""),"Türkiye")</f>
        <v>Türkiye</v>
      </c>
      <c r="G816" s="5" t="str">
        <f>IFERROR(__xludf.DUMMYFUNCTION("""COMPUTED_VALUE"""),"Sunflower oil")</f>
        <v>Sunflower oil</v>
      </c>
      <c r="H816" s="6">
        <f>IFERROR(__xludf.DUMMYFUNCTION("""COMPUTED_VALUE"""),6000.0)</f>
        <v>6000</v>
      </c>
      <c r="I816" s="7">
        <f>IFERROR(__xludf.DUMMYFUNCTION("""COMPUTED_VALUE"""),44842.0)</f>
        <v>44842</v>
      </c>
      <c r="J816" s="7">
        <f>IFERROR(__xludf.DUMMYFUNCTION("""COMPUTED_VALUE"""),44850.0)</f>
        <v>44850</v>
      </c>
      <c r="K816" s="5" t="str">
        <f>IFERROR(__xludf.DUMMYFUNCTION("""COMPUTED_VALUE"""),"upper-middle-income")</f>
        <v>upper-middle-income</v>
      </c>
      <c r="L816" s="5" t="str">
        <f>IFERROR(__xludf.DUMMYFUNCTION("""COMPUTED_VALUE"""),"Panama")</f>
        <v>Panama</v>
      </c>
      <c r="M816" s="5" t="str">
        <f>IFERROR(__xludf.DUMMYFUNCTION("""COMPUTED_VALUE"""),"Europe &amp; Central Asia")</f>
        <v>Europe &amp; Central Asia</v>
      </c>
      <c r="N816" s="5" t="str">
        <f>IFERROR(__xludf.DUMMYFUNCTION("""COMPUTED_VALUE"""),"Asia-Pacific")</f>
        <v>Asia-Pacific</v>
      </c>
      <c r="O816" s="5" t="str">
        <f>IFERROR(__xludf.DUMMYFUNCTION("""COMPUTED_VALUE"""),"developing")</f>
        <v>developing</v>
      </c>
      <c r="P816" s="5"/>
      <c r="Q816" s="5"/>
    </row>
    <row r="817">
      <c r="A817" s="5" t="str">
        <f>IFERROR(__xludf.DUMMYFUNCTION("""COMPUTED_VALUE"""),"Outbound")</f>
        <v>Outbound</v>
      </c>
      <c r="B817" s="5">
        <f>IFERROR(__xludf.DUMMYFUNCTION("""COMPUTED_VALUE"""),290.0)</f>
        <v>290</v>
      </c>
      <c r="C817" s="5" t="str">
        <f>IFERROR(__xludf.DUMMYFUNCTION("""COMPUTED_VALUE"""),"LAURUS")</f>
        <v>LAURUS</v>
      </c>
      <c r="D817" s="5">
        <f>IFERROR(__xludf.DUMMYFUNCTION("""COMPUTED_VALUE"""),9559169.0)</f>
        <v>9559169</v>
      </c>
      <c r="E817" s="5" t="str">
        <f>IFERROR(__xludf.DUMMYFUNCTION("""COMPUTED_VALUE"""),"Chornomorsk")</f>
        <v>Chornomorsk</v>
      </c>
      <c r="F817" s="5" t="str">
        <f>IFERROR(__xludf.DUMMYFUNCTION("""COMPUTED_VALUE"""),"Türkiye")</f>
        <v>Türkiye</v>
      </c>
      <c r="G817" s="5" t="str">
        <f>IFERROR(__xludf.DUMMYFUNCTION("""COMPUTED_VALUE"""),"Wheat")</f>
        <v>Wheat</v>
      </c>
      <c r="H817" s="6">
        <f>IFERROR(__xludf.DUMMYFUNCTION("""COMPUTED_VALUE"""),5050.0)</f>
        <v>5050</v>
      </c>
      <c r="I817" s="7">
        <f>IFERROR(__xludf.DUMMYFUNCTION("""COMPUTED_VALUE"""),44842.0)</f>
        <v>44842</v>
      </c>
      <c r="J817" s="7">
        <f>IFERROR(__xludf.DUMMYFUNCTION("""COMPUTED_VALUE"""),44859.0)</f>
        <v>44859</v>
      </c>
      <c r="K817" s="5" t="str">
        <f>IFERROR(__xludf.DUMMYFUNCTION("""COMPUTED_VALUE"""),"upper-middle-income")</f>
        <v>upper-middle-income</v>
      </c>
      <c r="L817" s="5" t="str">
        <f>IFERROR(__xludf.DUMMYFUNCTION("""COMPUTED_VALUE"""),"Cameroon")</f>
        <v>Cameroon</v>
      </c>
      <c r="M817" s="5" t="str">
        <f>IFERROR(__xludf.DUMMYFUNCTION("""COMPUTED_VALUE"""),"Europe &amp; Central Asia")</f>
        <v>Europe &amp; Central Asia</v>
      </c>
      <c r="N817" s="5" t="str">
        <f>IFERROR(__xludf.DUMMYFUNCTION("""COMPUTED_VALUE"""),"Asia-Pacific")</f>
        <v>Asia-Pacific</v>
      </c>
      <c r="O817" s="5" t="str">
        <f>IFERROR(__xludf.DUMMYFUNCTION("""COMPUTED_VALUE"""),"developing")</f>
        <v>developing</v>
      </c>
      <c r="P817" s="5"/>
      <c r="Q817" s="5"/>
    </row>
    <row r="818">
      <c r="A818" s="5" t="str">
        <f>IFERROR(__xludf.DUMMYFUNCTION("""COMPUTED_VALUE"""),"Outbound")</f>
        <v>Outbound</v>
      </c>
      <c r="B818" s="5">
        <f>IFERROR(__xludf.DUMMYFUNCTION("""COMPUTED_VALUE"""),289.0)</f>
        <v>289</v>
      </c>
      <c r="C818" s="5" t="str">
        <f>IFERROR(__xludf.DUMMYFUNCTION("""COMPUTED_VALUE"""),"LADY EVA")</f>
        <v>LADY EVA</v>
      </c>
      <c r="D818" s="5">
        <f>IFERROR(__xludf.DUMMYFUNCTION("""COMPUTED_VALUE"""),9008110.0)</f>
        <v>9008110</v>
      </c>
      <c r="E818" s="5" t="str">
        <f>IFERROR(__xludf.DUMMYFUNCTION("""COMPUTED_VALUE"""),"Odesa")</f>
        <v>Odesa</v>
      </c>
      <c r="F818" s="5" t="str">
        <f>IFERROR(__xludf.DUMMYFUNCTION("""COMPUTED_VALUE"""),"Greece")</f>
        <v>Greece</v>
      </c>
      <c r="G818" s="5" t="str">
        <f>IFERROR(__xludf.DUMMYFUNCTION("""COMPUTED_VALUE"""),"Corn")</f>
        <v>Corn</v>
      </c>
      <c r="H818" s="6">
        <f>IFERROR(__xludf.DUMMYFUNCTION("""COMPUTED_VALUE"""),5666.0)</f>
        <v>5666</v>
      </c>
      <c r="I818" s="7">
        <f>IFERROR(__xludf.DUMMYFUNCTION("""COMPUTED_VALUE"""),44842.0)</f>
        <v>44842</v>
      </c>
      <c r="J818" s="7">
        <f>IFERROR(__xludf.DUMMYFUNCTION("""COMPUTED_VALUE"""),44858.0)</f>
        <v>44858</v>
      </c>
      <c r="K818" s="5" t="str">
        <f>IFERROR(__xludf.DUMMYFUNCTION("""COMPUTED_VALUE"""),"high-income")</f>
        <v>high-income</v>
      </c>
      <c r="L818" s="5" t="str">
        <f>IFERROR(__xludf.DUMMYFUNCTION("""COMPUTED_VALUE"""),"Togo")</f>
        <v>Togo</v>
      </c>
      <c r="M818" s="5" t="str">
        <f>IFERROR(__xludf.DUMMYFUNCTION("""COMPUTED_VALUE"""),"Europe &amp; Central Asia")</f>
        <v>Europe &amp; Central Asia</v>
      </c>
      <c r="N818" s="5" t="str">
        <f>IFERROR(__xludf.DUMMYFUNCTION("""COMPUTED_VALUE"""),"Western Europe and Others")</f>
        <v>Western Europe and Others</v>
      </c>
      <c r="O818" s="5" t="str">
        <f>IFERROR(__xludf.DUMMYFUNCTION("""COMPUTED_VALUE"""),"developed")</f>
        <v>developed</v>
      </c>
      <c r="P818" s="5"/>
      <c r="Q818" s="5"/>
    </row>
    <row r="819">
      <c r="A819" s="5" t="str">
        <f>IFERROR(__xludf.DUMMYFUNCTION("""COMPUTED_VALUE"""),"Outbound +")</f>
        <v>Outbound +</v>
      </c>
      <c r="B819" s="5">
        <f>IFERROR(__xludf.DUMMYFUNCTION("""COMPUTED_VALUE"""),288.0)</f>
        <v>288</v>
      </c>
      <c r="C819" s="5" t="str">
        <f>IFERROR(__xludf.DUMMYFUNCTION("""COMPUTED_VALUE"""),"ENEIDA")</f>
        <v>ENEIDA</v>
      </c>
      <c r="D819" s="5">
        <f>IFERROR(__xludf.DUMMYFUNCTION("""COMPUTED_VALUE"""),9198381.0)</f>
        <v>9198381</v>
      </c>
      <c r="E819" s="5" t="str">
        <f>IFERROR(__xludf.DUMMYFUNCTION("""COMPUTED_VALUE"""),"Chornomorsk")</f>
        <v>Chornomorsk</v>
      </c>
      <c r="F819" s="5" t="str">
        <f>IFERROR(__xludf.DUMMYFUNCTION("""COMPUTED_VALUE"""),"Türkiye")</f>
        <v>Türkiye</v>
      </c>
      <c r="G819" s="5" t="str">
        <f>IFERROR(__xludf.DUMMYFUNCTION("""COMPUTED_VALUE"""),"Wheat")</f>
        <v>Wheat</v>
      </c>
      <c r="H819" s="6">
        <f>IFERROR(__xludf.DUMMYFUNCTION("""COMPUTED_VALUE"""),9511.0)</f>
        <v>9511</v>
      </c>
      <c r="I819" s="7">
        <f>IFERROR(__xludf.DUMMYFUNCTION("""COMPUTED_VALUE"""),44842.0)</f>
        <v>44842</v>
      </c>
      <c r="J819" s="7">
        <f>IFERROR(__xludf.DUMMYFUNCTION("""COMPUTED_VALUE"""),44862.0)</f>
        <v>44862</v>
      </c>
      <c r="K819" s="5" t="str">
        <f>IFERROR(__xludf.DUMMYFUNCTION("""COMPUTED_VALUE"""),"upper-middle-income")</f>
        <v>upper-middle-income</v>
      </c>
      <c r="L819" s="5" t="str">
        <f>IFERROR(__xludf.DUMMYFUNCTION("""COMPUTED_VALUE"""),"Liberia")</f>
        <v>Liberia</v>
      </c>
      <c r="M819" s="5" t="str">
        <f>IFERROR(__xludf.DUMMYFUNCTION("""COMPUTED_VALUE"""),"Europe &amp; Central Asia")</f>
        <v>Europe &amp; Central Asia</v>
      </c>
      <c r="N819" s="5" t="str">
        <f>IFERROR(__xludf.DUMMYFUNCTION("""COMPUTED_VALUE"""),"Asia-Pacific")</f>
        <v>Asia-Pacific</v>
      </c>
      <c r="O819" s="5" t="str">
        <f>IFERROR(__xludf.DUMMYFUNCTION("""COMPUTED_VALUE"""),"developing")</f>
        <v>developing</v>
      </c>
      <c r="P819" s="5"/>
      <c r="Q819" s="5"/>
    </row>
    <row r="820">
      <c r="A820" s="5" t="str">
        <f>IFERROR(__xludf.DUMMYFUNCTION("""COMPUTED_VALUE"""),"Outbound")</f>
        <v>Outbound</v>
      </c>
      <c r="B820" s="5">
        <f>IFERROR(__xludf.DUMMYFUNCTION("""COMPUTED_VALUE"""),288.0)</f>
        <v>288</v>
      </c>
      <c r="C820" s="5" t="str">
        <f>IFERROR(__xludf.DUMMYFUNCTION("""COMPUTED_VALUE"""),"ENEIDA")</f>
        <v>ENEIDA</v>
      </c>
      <c r="D820" s="5">
        <f>IFERROR(__xludf.DUMMYFUNCTION("""COMPUTED_VALUE"""),9198381.0)</f>
        <v>9198381</v>
      </c>
      <c r="E820" s="5" t="str">
        <f>IFERROR(__xludf.DUMMYFUNCTION("""COMPUTED_VALUE"""),"Chornomorsk")</f>
        <v>Chornomorsk</v>
      </c>
      <c r="F820" s="5" t="str">
        <f>IFERROR(__xludf.DUMMYFUNCTION("""COMPUTED_VALUE"""),"Türkiye")</f>
        <v>Türkiye</v>
      </c>
      <c r="G820" s="5" t="str">
        <f>IFERROR(__xludf.DUMMYFUNCTION("""COMPUTED_VALUE"""),"Corn")</f>
        <v>Corn</v>
      </c>
      <c r="H820" s="6">
        <f>IFERROR(__xludf.DUMMYFUNCTION("""COMPUTED_VALUE"""),32859.0)</f>
        <v>32859</v>
      </c>
      <c r="I820" s="7">
        <f>IFERROR(__xludf.DUMMYFUNCTION("""COMPUTED_VALUE"""),44842.0)</f>
        <v>44842</v>
      </c>
      <c r="J820" s="7">
        <f>IFERROR(__xludf.DUMMYFUNCTION("""COMPUTED_VALUE"""),44862.0)</f>
        <v>44862</v>
      </c>
      <c r="K820" s="5" t="str">
        <f>IFERROR(__xludf.DUMMYFUNCTION("""COMPUTED_VALUE"""),"upper-middle-income")</f>
        <v>upper-middle-income</v>
      </c>
      <c r="L820" s="5" t="str">
        <f>IFERROR(__xludf.DUMMYFUNCTION("""COMPUTED_VALUE"""),"Liberia")</f>
        <v>Liberia</v>
      </c>
      <c r="M820" s="5" t="str">
        <f>IFERROR(__xludf.DUMMYFUNCTION("""COMPUTED_VALUE"""),"Europe &amp; Central Asia")</f>
        <v>Europe &amp; Central Asia</v>
      </c>
      <c r="N820" s="5" t="str">
        <f>IFERROR(__xludf.DUMMYFUNCTION("""COMPUTED_VALUE"""),"Asia-Pacific")</f>
        <v>Asia-Pacific</v>
      </c>
      <c r="O820" s="5" t="str">
        <f>IFERROR(__xludf.DUMMYFUNCTION("""COMPUTED_VALUE"""),"developing")</f>
        <v>developing</v>
      </c>
      <c r="P820" s="5"/>
      <c r="Q820" s="5"/>
    </row>
    <row r="821">
      <c r="A821" s="5" t="str">
        <f>IFERROR(__xludf.DUMMYFUNCTION("""COMPUTED_VALUE"""),"Outbound")</f>
        <v>Outbound</v>
      </c>
      <c r="B821" s="5">
        <f>IFERROR(__xludf.DUMMYFUNCTION("""COMPUTED_VALUE"""),287.0)</f>
        <v>287</v>
      </c>
      <c r="C821" s="5" t="str">
        <f>IFERROR(__xludf.DUMMYFUNCTION("""COMPUTED_VALUE"""),"CORNELIA M")</f>
        <v>CORNELIA M</v>
      </c>
      <c r="D821" s="5">
        <f>IFERROR(__xludf.DUMMYFUNCTION("""COMPUTED_VALUE"""),9490117.0)</f>
        <v>9490117</v>
      </c>
      <c r="E821" s="5" t="str">
        <f>IFERROR(__xludf.DUMMYFUNCTION("""COMPUTED_VALUE"""),"Yuzhny/Pivdennyi")</f>
        <v>Yuzhny/Pivdennyi</v>
      </c>
      <c r="F821" s="5" t="str">
        <f>IFERROR(__xludf.DUMMYFUNCTION("""COMPUTED_VALUE"""),"Viet Nam")</f>
        <v>Viet Nam</v>
      </c>
      <c r="G821" s="5" t="str">
        <f>IFERROR(__xludf.DUMMYFUNCTION("""COMPUTED_VALUE"""),"Wheat")</f>
        <v>Wheat</v>
      </c>
      <c r="H821" s="6">
        <f>IFERROR(__xludf.DUMMYFUNCTION("""COMPUTED_VALUE"""),60000.0)</f>
        <v>60000</v>
      </c>
      <c r="I821" s="7">
        <f>IFERROR(__xludf.DUMMYFUNCTION("""COMPUTED_VALUE"""),44842.0)</f>
        <v>44842</v>
      </c>
      <c r="J821" s="7">
        <f>IFERROR(__xludf.DUMMYFUNCTION("""COMPUTED_VALUE"""),44865.0)</f>
        <v>44865</v>
      </c>
      <c r="K821" s="5" t="str">
        <f>IFERROR(__xludf.DUMMYFUNCTION("""COMPUTED_VALUE"""),"lower-middle income")</f>
        <v>lower-middle income</v>
      </c>
      <c r="L821" s="5" t="str">
        <f>IFERROR(__xludf.DUMMYFUNCTION("""COMPUTED_VALUE"""),"Liberia")</f>
        <v>Liberia</v>
      </c>
      <c r="M821" s="5" t="str">
        <f>IFERROR(__xludf.DUMMYFUNCTION("""COMPUTED_VALUE"""),"East Asia &amp; Pacific")</f>
        <v>East Asia &amp; Pacific</v>
      </c>
      <c r="N821" s="5" t="str">
        <f>IFERROR(__xludf.DUMMYFUNCTION("""COMPUTED_VALUE"""),"Asia-Pacific")</f>
        <v>Asia-Pacific</v>
      </c>
      <c r="O821" s="5" t="str">
        <f>IFERROR(__xludf.DUMMYFUNCTION("""COMPUTED_VALUE"""),"developing")</f>
        <v>developing</v>
      </c>
      <c r="P821" s="5"/>
      <c r="Q821" s="5"/>
    </row>
    <row r="822">
      <c r="A822" s="5" t="str">
        <f>IFERROR(__xludf.DUMMYFUNCTION("""COMPUTED_VALUE"""),"Outbound")</f>
        <v>Outbound</v>
      </c>
      <c r="B822" s="5">
        <f>IFERROR(__xludf.DUMMYFUNCTION("""COMPUTED_VALUE"""),286.0)</f>
        <v>286</v>
      </c>
      <c r="C822" s="5" t="str">
        <f>IFERROR(__xludf.DUMMYFUNCTION("""COMPUTED_VALUE"""),"CHEM HERO")</f>
        <v>CHEM HERO</v>
      </c>
      <c r="D822" s="5">
        <f>IFERROR(__xludf.DUMMYFUNCTION("""COMPUTED_VALUE"""),9402823.0)</f>
        <v>9402823</v>
      </c>
      <c r="E822" s="5" t="str">
        <f>IFERROR(__xludf.DUMMYFUNCTION("""COMPUTED_VALUE"""),"Chornomorsk")</f>
        <v>Chornomorsk</v>
      </c>
      <c r="F822" s="5" t="str">
        <f>IFERROR(__xludf.DUMMYFUNCTION("""COMPUTED_VALUE"""),"India")</f>
        <v>India</v>
      </c>
      <c r="G822" s="5" t="str">
        <f>IFERROR(__xludf.DUMMYFUNCTION("""COMPUTED_VALUE"""),"Sunflower oil")</f>
        <v>Sunflower oil</v>
      </c>
      <c r="H822" s="6">
        <f>IFERROR(__xludf.DUMMYFUNCTION("""COMPUTED_VALUE"""),15000.0)</f>
        <v>15000</v>
      </c>
      <c r="I822" s="7">
        <f>IFERROR(__xludf.DUMMYFUNCTION("""COMPUTED_VALUE"""),44842.0)</f>
        <v>44842</v>
      </c>
      <c r="J822" s="7">
        <f>IFERROR(__xludf.DUMMYFUNCTION("""COMPUTED_VALUE"""),44850.0)</f>
        <v>44850</v>
      </c>
      <c r="K822" s="5" t="str">
        <f>IFERROR(__xludf.DUMMYFUNCTION("""COMPUTED_VALUE"""),"lower-middle income")</f>
        <v>lower-middle income</v>
      </c>
      <c r="L822" s="5" t="str">
        <f>IFERROR(__xludf.DUMMYFUNCTION("""COMPUTED_VALUE"""),"Liberia")</f>
        <v>Liberia</v>
      </c>
      <c r="M822" s="5" t="str">
        <f>IFERROR(__xludf.DUMMYFUNCTION("""COMPUTED_VALUE"""),"South Asia")</f>
        <v>South Asia</v>
      </c>
      <c r="N822" s="5" t="str">
        <f>IFERROR(__xludf.DUMMYFUNCTION("""COMPUTED_VALUE"""),"Asia-Pacific")</f>
        <v>Asia-Pacific</v>
      </c>
      <c r="O822" s="5" t="str">
        <f>IFERROR(__xludf.DUMMYFUNCTION("""COMPUTED_VALUE"""),"developing")</f>
        <v>developing</v>
      </c>
      <c r="P822" s="5"/>
      <c r="Q822" s="5"/>
    </row>
    <row r="823">
      <c r="A823" s="5" t="str">
        <f>IFERROR(__xludf.DUMMYFUNCTION("""COMPUTED_VALUE"""),"Outbound")</f>
        <v>Outbound</v>
      </c>
      <c r="B823" s="5">
        <f>IFERROR(__xludf.DUMMYFUNCTION("""COMPUTED_VALUE"""),285.0)</f>
        <v>285</v>
      </c>
      <c r="C823" s="5" t="str">
        <f>IFERROR(__xludf.DUMMYFUNCTION("""COMPUTED_VALUE"""),"NEW ISLAND (WFP)")</f>
        <v>NEW ISLAND (WFP)</v>
      </c>
      <c r="D823" s="5">
        <f>IFERROR(__xludf.DUMMYFUNCTION("""COMPUTED_VALUE"""),9258349.0)</f>
        <v>9258349</v>
      </c>
      <c r="E823" s="5" t="str">
        <f>IFERROR(__xludf.DUMMYFUNCTION("""COMPUTED_VALUE"""),"Chornomorsk")</f>
        <v>Chornomorsk</v>
      </c>
      <c r="F823" s="5" t="str">
        <f>IFERROR(__xludf.DUMMYFUNCTION("""COMPUTED_VALUE"""),"Ethiopia")</f>
        <v>Ethiopia</v>
      </c>
      <c r="G823" s="5" t="str">
        <f>IFERROR(__xludf.DUMMYFUNCTION("""COMPUTED_VALUE"""),"Wheat")</f>
        <v>Wheat</v>
      </c>
      <c r="H823" s="6">
        <f>IFERROR(__xludf.DUMMYFUNCTION("""COMPUTED_VALUE"""),30000.0)</f>
        <v>30000</v>
      </c>
      <c r="I823" s="7">
        <f>IFERROR(__xludf.DUMMYFUNCTION("""COMPUTED_VALUE"""),44841.0)</f>
        <v>44841</v>
      </c>
      <c r="J823" s="7">
        <f>IFERROR(__xludf.DUMMYFUNCTION("""COMPUTED_VALUE"""),44847.0)</f>
        <v>44847</v>
      </c>
      <c r="K823" s="5" t="str">
        <f>IFERROR(__xludf.DUMMYFUNCTION("""COMPUTED_VALUE"""),"low-income")</f>
        <v>low-income</v>
      </c>
      <c r="L823" s="5" t="str">
        <f>IFERROR(__xludf.DUMMYFUNCTION("""COMPUTED_VALUE"""),"Malta")</f>
        <v>Malta</v>
      </c>
      <c r="M823" s="5" t="str">
        <f>IFERROR(__xludf.DUMMYFUNCTION("""COMPUTED_VALUE"""),"Sub-Saharan Africa")</f>
        <v>Sub-Saharan Africa</v>
      </c>
      <c r="N823" s="5" t="str">
        <f>IFERROR(__xludf.DUMMYFUNCTION("""COMPUTED_VALUE"""),"Africa")</f>
        <v>Africa</v>
      </c>
      <c r="O823" s="5" t="str">
        <f>IFERROR(__xludf.DUMMYFUNCTION("""COMPUTED_VALUE"""),"developing")</f>
        <v>developing</v>
      </c>
      <c r="P823" s="5" t="str">
        <f>IFERROR(__xludf.DUMMYFUNCTION("""COMPUTED_VALUE"""),"WFP")</f>
        <v>WFP</v>
      </c>
      <c r="Q823" s="5"/>
    </row>
    <row r="824">
      <c r="A824" s="5" t="str">
        <f>IFERROR(__xludf.DUMMYFUNCTION("""COMPUTED_VALUE"""),"Outbound")</f>
        <v>Outbound</v>
      </c>
      <c r="B824" s="5">
        <f>IFERROR(__xludf.DUMMYFUNCTION("""COMPUTED_VALUE"""),284.0)</f>
        <v>284</v>
      </c>
      <c r="C824" s="5" t="str">
        <f>IFERROR(__xludf.DUMMYFUNCTION("""COMPUTED_VALUE"""),"LADY PERLA")</f>
        <v>LADY PERLA</v>
      </c>
      <c r="D824" s="5">
        <f>IFERROR(__xludf.DUMMYFUNCTION("""COMPUTED_VALUE"""),9149732.0)</f>
        <v>9149732</v>
      </c>
      <c r="E824" s="5" t="str">
        <f>IFERROR(__xludf.DUMMYFUNCTION("""COMPUTED_VALUE"""),"Odesa")</f>
        <v>Odesa</v>
      </c>
      <c r="F824" s="5" t="str">
        <f>IFERROR(__xludf.DUMMYFUNCTION("""COMPUTED_VALUE"""),"Türkiye")</f>
        <v>Türkiye</v>
      </c>
      <c r="G824" s="5" t="str">
        <f>IFERROR(__xludf.DUMMYFUNCTION("""COMPUTED_VALUE"""),"Corn")</f>
        <v>Corn</v>
      </c>
      <c r="H824" s="6">
        <f>IFERROR(__xludf.DUMMYFUNCTION("""COMPUTED_VALUE"""),20000.0)</f>
        <v>20000</v>
      </c>
      <c r="I824" s="7">
        <f>IFERROR(__xludf.DUMMYFUNCTION("""COMPUTED_VALUE"""),44841.0)</f>
        <v>44841</v>
      </c>
      <c r="J824" s="7">
        <f>IFERROR(__xludf.DUMMYFUNCTION("""COMPUTED_VALUE"""),44862.0)</f>
        <v>44862</v>
      </c>
      <c r="K824" s="5" t="str">
        <f>IFERROR(__xludf.DUMMYFUNCTION("""COMPUTED_VALUE"""),"upper-middle-income")</f>
        <v>upper-middle-income</v>
      </c>
      <c r="L824" s="5" t="str">
        <f>IFERROR(__xludf.DUMMYFUNCTION("""COMPUTED_VALUE"""),"Liberia")</f>
        <v>Liberia</v>
      </c>
      <c r="M824" s="5" t="str">
        <f>IFERROR(__xludf.DUMMYFUNCTION("""COMPUTED_VALUE"""),"Europe &amp; Central Asia")</f>
        <v>Europe &amp; Central Asia</v>
      </c>
      <c r="N824" s="5" t="str">
        <f>IFERROR(__xludf.DUMMYFUNCTION("""COMPUTED_VALUE"""),"Asia-Pacific")</f>
        <v>Asia-Pacific</v>
      </c>
      <c r="O824" s="5" t="str">
        <f>IFERROR(__xludf.DUMMYFUNCTION("""COMPUTED_VALUE"""),"developing")</f>
        <v>developing</v>
      </c>
      <c r="P824" s="5"/>
      <c r="Q824" s="5"/>
    </row>
    <row r="825">
      <c r="A825" s="5" t="str">
        <f>IFERROR(__xludf.DUMMYFUNCTION("""COMPUTED_VALUE"""),"Outbound")</f>
        <v>Outbound</v>
      </c>
      <c r="B825" s="5">
        <f>IFERROR(__xludf.DUMMYFUNCTION("""COMPUTED_VALUE"""),283.0)</f>
        <v>283</v>
      </c>
      <c r="C825" s="5" t="str">
        <f>IFERROR(__xludf.DUMMYFUNCTION("""COMPUTED_VALUE"""),"BURAK DEVAL")</f>
        <v>BURAK DEVAL</v>
      </c>
      <c r="D825" s="5">
        <f>IFERROR(__xludf.DUMMYFUNCTION("""COMPUTED_VALUE"""),9349978.0)</f>
        <v>9349978</v>
      </c>
      <c r="E825" s="5" t="str">
        <f>IFERROR(__xludf.DUMMYFUNCTION("""COMPUTED_VALUE"""),"Yuzhny/Pivdennyi")</f>
        <v>Yuzhny/Pivdennyi</v>
      </c>
      <c r="F825" s="5" t="str">
        <f>IFERROR(__xludf.DUMMYFUNCTION("""COMPUTED_VALUE"""),"Greece")</f>
        <v>Greece</v>
      </c>
      <c r="G825" s="5" t="str">
        <f>IFERROR(__xludf.DUMMYFUNCTION("""COMPUTED_VALUE"""),"Corn")</f>
        <v>Corn</v>
      </c>
      <c r="H825" s="6">
        <f>IFERROR(__xludf.DUMMYFUNCTION("""COMPUTED_VALUE"""),3300.0)</f>
        <v>3300</v>
      </c>
      <c r="I825" s="7">
        <f>IFERROR(__xludf.DUMMYFUNCTION("""COMPUTED_VALUE"""),44841.0)</f>
        <v>44841</v>
      </c>
      <c r="J825" s="7">
        <f>IFERROR(__xludf.DUMMYFUNCTION("""COMPUTED_VALUE"""),44861.0)</f>
        <v>44861</v>
      </c>
      <c r="K825" s="5" t="str">
        <f>IFERROR(__xludf.DUMMYFUNCTION("""COMPUTED_VALUE"""),"high-income")</f>
        <v>high-income</v>
      </c>
      <c r="L825" s="5" t="str">
        <f>IFERROR(__xludf.DUMMYFUNCTION("""COMPUTED_VALUE"""),"Türkiye")</f>
        <v>Türkiye</v>
      </c>
      <c r="M825" s="5" t="str">
        <f>IFERROR(__xludf.DUMMYFUNCTION("""COMPUTED_VALUE"""),"Europe &amp; Central Asia")</f>
        <v>Europe &amp; Central Asia</v>
      </c>
      <c r="N825" s="5" t="str">
        <f>IFERROR(__xludf.DUMMYFUNCTION("""COMPUTED_VALUE"""),"Western Europe and Others")</f>
        <v>Western Europe and Others</v>
      </c>
      <c r="O825" s="5" t="str">
        <f>IFERROR(__xludf.DUMMYFUNCTION("""COMPUTED_VALUE"""),"developed")</f>
        <v>developed</v>
      </c>
      <c r="P825" s="5"/>
      <c r="Q825" s="5"/>
    </row>
    <row r="826">
      <c r="A826" s="5" t="str">
        <f>IFERROR(__xludf.DUMMYFUNCTION("""COMPUTED_VALUE"""),"Outbound +")</f>
        <v>Outbound +</v>
      </c>
      <c r="B826" s="5">
        <f>IFERROR(__xludf.DUMMYFUNCTION("""COMPUTED_VALUE"""),283.0)</f>
        <v>283</v>
      </c>
      <c r="C826" s="5" t="str">
        <f>IFERROR(__xludf.DUMMYFUNCTION("""COMPUTED_VALUE"""),"BURAK DEVAL")</f>
        <v>BURAK DEVAL</v>
      </c>
      <c r="D826" s="5">
        <f>IFERROR(__xludf.DUMMYFUNCTION("""COMPUTED_VALUE"""),9349978.0)</f>
        <v>9349978</v>
      </c>
      <c r="E826" s="5" t="str">
        <f>IFERROR(__xludf.DUMMYFUNCTION("""COMPUTED_VALUE"""),"Yuzhny/Pivdennyi")</f>
        <v>Yuzhny/Pivdennyi</v>
      </c>
      <c r="F826" s="5" t="str">
        <f>IFERROR(__xludf.DUMMYFUNCTION("""COMPUTED_VALUE"""),"Greece")</f>
        <v>Greece</v>
      </c>
      <c r="G826" s="5" t="str">
        <f>IFERROR(__xludf.DUMMYFUNCTION("""COMPUTED_VALUE"""),"Wheat")</f>
        <v>Wheat</v>
      </c>
      <c r="H826" s="6">
        <f>IFERROR(__xludf.DUMMYFUNCTION("""COMPUTED_VALUE"""),3300.0)</f>
        <v>3300</v>
      </c>
      <c r="I826" s="7">
        <f>IFERROR(__xludf.DUMMYFUNCTION("""COMPUTED_VALUE"""),44841.0)</f>
        <v>44841</v>
      </c>
      <c r="J826" s="7">
        <f>IFERROR(__xludf.DUMMYFUNCTION("""COMPUTED_VALUE"""),44861.0)</f>
        <v>44861</v>
      </c>
      <c r="K826" s="5" t="str">
        <f>IFERROR(__xludf.DUMMYFUNCTION("""COMPUTED_VALUE"""),"high-income")</f>
        <v>high-income</v>
      </c>
      <c r="L826" s="5" t="str">
        <f>IFERROR(__xludf.DUMMYFUNCTION("""COMPUTED_VALUE"""),"Türkiye")</f>
        <v>Türkiye</v>
      </c>
      <c r="M826" s="5" t="str">
        <f>IFERROR(__xludf.DUMMYFUNCTION("""COMPUTED_VALUE"""),"Europe &amp; Central Asia")</f>
        <v>Europe &amp; Central Asia</v>
      </c>
      <c r="N826" s="5" t="str">
        <f>IFERROR(__xludf.DUMMYFUNCTION("""COMPUTED_VALUE"""),"Western Europe and Others")</f>
        <v>Western Europe and Others</v>
      </c>
      <c r="O826" s="5" t="str">
        <f>IFERROR(__xludf.DUMMYFUNCTION("""COMPUTED_VALUE"""),"developed")</f>
        <v>developed</v>
      </c>
      <c r="P826" s="5"/>
      <c r="Q826" s="5"/>
    </row>
    <row r="827">
      <c r="A827" s="5" t="str">
        <f>IFERROR(__xludf.DUMMYFUNCTION("""COMPUTED_VALUE"""),"Outbound")</f>
        <v>Outbound</v>
      </c>
      <c r="B827" s="5">
        <f>IFERROR(__xludf.DUMMYFUNCTION("""COMPUTED_VALUE"""),282.0)</f>
        <v>282</v>
      </c>
      <c r="C827" s="5" t="str">
        <f>IFERROR(__xludf.DUMMYFUNCTION("""COMPUTED_VALUE"""),"ZHE HAI 505")</f>
        <v>ZHE HAI 505</v>
      </c>
      <c r="D827" s="5">
        <f>IFERROR(__xludf.DUMMYFUNCTION("""COMPUTED_VALUE"""),9567477.0)</f>
        <v>9567477</v>
      </c>
      <c r="E827" s="5" t="str">
        <f>IFERROR(__xludf.DUMMYFUNCTION("""COMPUTED_VALUE"""),"Odesa")</f>
        <v>Odesa</v>
      </c>
      <c r="F827" s="5" t="str">
        <f>IFERROR(__xludf.DUMMYFUNCTION("""COMPUTED_VALUE"""),"Algeria")</f>
        <v>Algeria</v>
      </c>
      <c r="G827" s="5" t="str">
        <f>IFERROR(__xludf.DUMMYFUNCTION("""COMPUTED_VALUE"""),"Wheat")</f>
        <v>Wheat</v>
      </c>
      <c r="H827" s="6">
        <f>IFERROR(__xludf.DUMMYFUNCTION("""COMPUTED_VALUE"""),28500.0)</f>
        <v>28500</v>
      </c>
      <c r="I827" s="7">
        <f>IFERROR(__xludf.DUMMYFUNCTION("""COMPUTED_VALUE"""),44840.0)</f>
        <v>44840</v>
      </c>
      <c r="J827" s="7">
        <f>IFERROR(__xludf.DUMMYFUNCTION("""COMPUTED_VALUE"""),44864.0)</f>
        <v>44864</v>
      </c>
      <c r="K827" s="5" t="str">
        <f>IFERROR(__xludf.DUMMYFUNCTION("""COMPUTED_VALUE"""),"lower-middle income")</f>
        <v>lower-middle income</v>
      </c>
      <c r="L827" s="5" t="str">
        <f>IFERROR(__xludf.DUMMYFUNCTION("""COMPUTED_VALUE"""),"China")</f>
        <v>China</v>
      </c>
      <c r="M827" s="5" t="str">
        <f>IFERROR(__xludf.DUMMYFUNCTION("""COMPUTED_VALUE"""),"Middle East &amp; North Africa")</f>
        <v>Middle East &amp; North Africa</v>
      </c>
      <c r="N827" s="5" t="str">
        <f>IFERROR(__xludf.DUMMYFUNCTION("""COMPUTED_VALUE"""),"Africa")</f>
        <v>Africa</v>
      </c>
      <c r="O827" s="5" t="str">
        <f>IFERROR(__xludf.DUMMYFUNCTION("""COMPUTED_VALUE"""),"developing")</f>
        <v>developing</v>
      </c>
      <c r="P827" s="5"/>
      <c r="Q827" s="5"/>
    </row>
    <row r="828">
      <c r="A828" s="5" t="str">
        <f>IFERROR(__xludf.DUMMYFUNCTION("""COMPUTED_VALUE"""),"Outbound")</f>
        <v>Outbound</v>
      </c>
      <c r="B828" s="5">
        <f>IFERROR(__xludf.DUMMYFUNCTION("""COMPUTED_VALUE"""),281.0)</f>
        <v>281</v>
      </c>
      <c r="C828" s="5" t="str">
        <f>IFERROR(__xludf.DUMMYFUNCTION("""COMPUTED_VALUE"""),"WHITE STAR")</f>
        <v>WHITE STAR</v>
      </c>
      <c r="D828" s="5">
        <f>IFERROR(__xludf.DUMMYFUNCTION("""COMPUTED_VALUE"""),9381938.0)</f>
        <v>9381938</v>
      </c>
      <c r="E828" s="5" t="str">
        <f>IFERROR(__xludf.DUMMYFUNCTION("""COMPUTED_VALUE"""),"Odesa")</f>
        <v>Odesa</v>
      </c>
      <c r="F828" s="5" t="str">
        <f>IFERROR(__xludf.DUMMYFUNCTION("""COMPUTED_VALUE"""),"Türkiye")</f>
        <v>Türkiye</v>
      </c>
      <c r="G828" s="5" t="str">
        <f>IFERROR(__xludf.DUMMYFUNCTION("""COMPUTED_VALUE"""),"Barley")</f>
        <v>Barley</v>
      </c>
      <c r="H828" s="6">
        <f>IFERROR(__xludf.DUMMYFUNCTION("""COMPUTED_VALUE"""),7800.0)</f>
        <v>7800</v>
      </c>
      <c r="I828" s="7">
        <f>IFERROR(__xludf.DUMMYFUNCTION("""COMPUTED_VALUE"""),44840.0)</f>
        <v>44840</v>
      </c>
      <c r="J828" s="7">
        <f>IFERROR(__xludf.DUMMYFUNCTION("""COMPUTED_VALUE"""),44856.0)</f>
        <v>44856</v>
      </c>
      <c r="K828" s="5" t="str">
        <f>IFERROR(__xludf.DUMMYFUNCTION("""COMPUTED_VALUE"""),"upper-middle-income")</f>
        <v>upper-middle-income</v>
      </c>
      <c r="L828" s="5" t="str">
        <f>IFERROR(__xludf.DUMMYFUNCTION("""COMPUTED_VALUE"""),"Panama")</f>
        <v>Panama</v>
      </c>
      <c r="M828" s="5" t="str">
        <f>IFERROR(__xludf.DUMMYFUNCTION("""COMPUTED_VALUE"""),"Europe &amp; Central Asia")</f>
        <v>Europe &amp; Central Asia</v>
      </c>
      <c r="N828" s="5" t="str">
        <f>IFERROR(__xludf.DUMMYFUNCTION("""COMPUTED_VALUE"""),"Asia-Pacific")</f>
        <v>Asia-Pacific</v>
      </c>
      <c r="O828" s="5" t="str">
        <f>IFERROR(__xludf.DUMMYFUNCTION("""COMPUTED_VALUE"""),"developing")</f>
        <v>developing</v>
      </c>
      <c r="P828" s="5"/>
      <c r="Q828" s="5"/>
    </row>
    <row r="829">
      <c r="A829" s="5" t="str">
        <f>IFERROR(__xludf.DUMMYFUNCTION("""COMPUTED_VALUE"""),"Outbound")</f>
        <v>Outbound</v>
      </c>
      <c r="B829" s="5">
        <f>IFERROR(__xludf.DUMMYFUNCTION("""COMPUTED_VALUE"""),280.0)</f>
        <v>280</v>
      </c>
      <c r="C829" s="5" t="str">
        <f>IFERROR(__xludf.DUMMYFUNCTION("""COMPUTED_VALUE"""),"UMIT G")</f>
        <v>UMIT G</v>
      </c>
      <c r="D829" s="5">
        <f>IFERROR(__xludf.DUMMYFUNCTION("""COMPUTED_VALUE"""),9041124.0)</f>
        <v>9041124</v>
      </c>
      <c r="E829" s="5" t="str">
        <f>IFERROR(__xludf.DUMMYFUNCTION("""COMPUTED_VALUE"""),"Yuzhny/Pivdennyi")</f>
        <v>Yuzhny/Pivdennyi</v>
      </c>
      <c r="F829" s="5" t="str">
        <f>IFERROR(__xludf.DUMMYFUNCTION("""COMPUTED_VALUE"""),"Greece")</f>
        <v>Greece</v>
      </c>
      <c r="G829" s="5" t="str">
        <f>IFERROR(__xludf.DUMMYFUNCTION("""COMPUTED_VALUE"""),"Wheat")</f>
        <v>Wheat</v>
      </c>
      <c r="H829" s="6">
        <f>IFERROR(__xludf.DUMMYFUNCTION("""COMPUTED_VALUE"""),4300.0)</f>
        <v>4300</v>
      </c>
      <c r="I829" s="7">
        <f>IFERROR(__xludf.DUMMYFUNCTION("""COMPUTED_VALUE"""),44840.0)</f>
        <v>44840</v>
      </c>
      <c r="J829" s="7">
        <f>IFERROR(__xludf.DUMMYFUNCTION("""COMPUTED_VALUE"""),44867.0)</f>
        <v>44867</v>
      </c>
      <c r="K829" s="5" t="str">
        <f>IFERROR(__xludf.DUMMYFUNCTION("""COMPUTED_VALUE"""),"high-income")</f>
        <v>high-income</v>
      </c>
      <c r="L829" s="5" t="str">
        <f>IFERROR(__xludf.DUMMYFUNCTION("""COMPUTED_VALUE"""),"Panama")</f>
        <v>Panama</v>
      </c>
      <c r="M829" s="5" t="str">
        <f>IFERROR(__xludf.DUMMYFUNCTION("""COMPUTED_VALUE"""),"Europe &amp; Central Asia")</f>
        <v>Europe &amp; Central Asia</v>
      </c>
      <c r="N829" s="5" t="str">
        <f>IFERROR(__xludf.DUMMYFUNCTION("""COMPUTED_VALUE"""),"Western Europe and Others")</f>
        <v>Western Europe and Others</v>
      </c>
      <c r="O829" s="5" t="str">
        <f>IFERROR(__xludf.DUMMYFUNCTION("""COMPUTED_VALUE"""),"developed")</f>
        <v>developed</v>
      </c>
      <c r="P829" s="5"/>
      <c r="Q829" s="5"/>
    </row>
    <row r="830">
      <c r="A830" s="5" t="str">
        <f>IFERROR(__xludf.DUMMYFUNCTION("""COMPUTED_VALUE"""),"Outbound")</f>
        <v>Outbound</v>
      </c>
      <c r="B830" s="5">
        <f>IFERROR(__xludf.DUMMYFUNCTION("""COMPUTED_VALUE"""),279.0)</f>
        <v>279</v>
      </c>
      <c r="C830" s="5" t="str">
        <f>IFERROR(__xludf.DUMMYFUNCTION("""COMPUTED_VALUE"""),"SILVER LADY")</f>
        <v>SILVER LADY</v>
      </c>
      <c r="D830" s="5">
        <f>IFERROR(__xludf.DUMMYFUNCTION("""COMPUTED_VALUE"""),9279367.0)</f>
        <v>9279367</v>
      </c>
      <c r="E830" s="5" t="str">
        <f>IFERROR(__xludf.DUMMYFUNCTION("""COMPUTED_VALUE"""),"Chornomorsk")</f>
        <v>Chornomorsk</v>
      </c>
      <c r="F830" s="5" t="str">
        <f>IFERROR(__xludf.DUMMYFUNCTION("""COMPUTED_VALUE"""),"Spain")</f>
        <v>Spain</v>
      </c>
      <c r="G830" s="5" t="str">
        <f>IFERROR(__xludf.DUMMYFUNCTION("""COMPUTED_VALUE"""),"Wheat")</f>
        <v>Wheat</v>
      </c>
      <c r="H830" s="6">
        <f>IFERROR(__xludf.DUMMYFUNCTION("""COMPUTED_VALUE"""),49100.0)</f>
        <v>49100</v>
      </c>
      <c r="I830" s="7">
        <f>IFERROR(__xludf.DUMMYFUNCTION("""COMPUTED_VALUE"""),44840.0)</f>
        <v>44840</v>
      </c>
      <c r="J830" s="7">
        <f>IFERROR(__xludf.DUMMYFUNCTION("""COMPUTED_VALUE"""),44856.0)</f>
        <v>44856</v>
      </c>
      <c r="K830" s="5" t="str">
        <f>IFERROR(__xludf.DUMMYFUNCTION("""COMPUTED_VALUE"""),"high-income")</f>
        <v>high-income</v>
      </c>
      <c r="L830" s="5" t="str">
        <f>IFERROR(__xludf.DUMMYFUNCTION("""COMPUTED_VALUE"""),"Malta")</f>
        <v>Malta</v>
      </c>
      <c r="M830" s="5" t="str">
        <f>IFERROR(__xludf.DUMMYFUNCTION("""COMPUTED_VALUE"""),"Europe &amp; Central Asia")</f>
        <v>Europe &amp; Central Asia</v>
      </c>
      <c r="N830" s="5" t="str">
        <f>IFERROR(__xludf.DUMMYFUNCTION("""COMPUTED_VALUE"""),"Western Europe and Others")</f>
        <v>Western Europe and Others</v>
      </c>
      <c r="O830" s="5" t="str">
        <f>IFERROR(__xludf.DUMMYFUNCTION("""COMPUTED_VALUE"""),"developed")</f>
        <v>developed</v>
      </c>
      <c r="P830" s="5"/>
      <c r="Q830" s="5"/>
    </row>
    <row r="831">
      <c r="A831" s="5" t="str">
        <f>IFERROR(__xludf.DUMMYFUNCTION("""COMPUTED_VALUE"""),"Outbound")</f>
        <v>Outbound</v>
      </c>
      <c r="B831" s="5">
        <f>IFERROR(__xludf.DUMMYFUNCTION("""COMPUTED_VALUE"""),278.0)</f>
        <v>278</v>
      </c>
      <c r="C831" s="5" t="str">
        <f>IFERROR(__xludf.DUMMYFUNCTION("""COMPUTED_VALUE"""),"SERENITY IBTIHAJ")</f>
        <v>SERENITY IBTIHAJ</v>
      </c>
      <c r="D831" s="5">
        <f>IFERROR(__xludf.DUMMYFUNCTION("""COMPUTED_VALUE"""),9364849.0)</f>
        <v>9364849</v>
      </c>
      <c r="E831" s="5" t="str">
        <f>IFERROR(__xludf.DUMMYFUNCTION("""COMPUTED_VALUE"""),"Chornomorsk")</f>
        <v>Chornomorsk</v>
      </c>
      <c r="F831" s="5" t="str">
        <f>IFERROR(__xludf.DUMMYFUNCTION("""COMPUTED_VALUE"""),"Israel")</f>
        <v>Israel</v>
      </c>
      <c r="G831" s="5" t="str">
        <f>IFERROR(__xludf.DUMMYFUNCTION("""COMPUTED_VALUE"""),"Corn")</f>
        <v>Corn</v>
      </c>
      <c r="H831" s="6">
        <f>IFERROR(__xludf.DUMMYFUNCTION("""COMPUTED_VALUE"""),27200.0)</f>
        <v>27200</v>
      </c>
      <c r="I831" s="7">
        <f>IFERROR(__xludf.DUMMYFUNCTION("""COMPUTED_VALUE"""),44840.0)</f>
        <v>44840</v>
      </c>
      <c r="J831" s="7">
        <f>IFERROR(__xludf.DUMMYFUNCTION("""COMPUTED_VALUE"""),44865.0)</f>
        <v>44865</v>
      </c>
      <c r="K831" s="5" t="str">
        <f>IFERROR(__xludf.DUMMYFUNCTION("""COMPUTED_VALUE"""),"high-income")</f>
        <v>high-income</v>
      </c>
      <c r="L831" s="5" t="str">
        <f>IFERROR(__xludf.DUMMYFUNCTION("""COMPUTED_VALUE"""),"Marshall Islands")</f>
        <v>Marshall Islands</v>
      </c>
      <c r="M831" s="5" t="str">
        <f>IFERROR(__xludf.DUMMYFUNCTION("""COMPUTED_VALUE"""),"Middle East &amp; North Africa")</f>
        <v>Middle East &amp; North Africa</v>
      </c>
      <c r="N831" s="5" t="str">
        <f>IFERROR(__xludf.DUMMYFUNCTION("""COMPUTED_VALUE"""),"Western Europe and Others")</f>
        <v>Western Europe and Others</v>
      </c>
      <c r="O831" s="5" t="str">
        <f>IFERROR(__xludf.DUMMYFUNCTION("""COMPUTED_VALUE"""),"developed")</f>
        <v>developed</v>
      </c>
      <c r="P831" s="5"/>
      <c r="Q831" s="5"/>
    </row>
    <row r="832">
      <c r="A832" s="5" t="str">
        <f>IFERROR(__xludf.DUMMYFUNCTION("""COMPUTED_VALUE"""),"Outbound")</f>
        <v>Outbound</v>
      </c>
      <c r="B832" s="5">
        <f>IFERROR(__xludf.DUMMYFUNCTION("""COMPUTED_VALUE"""),277.0)</f>
        <v>277</v>
      </c>
      <c r="C832" s="5" t="str">
        <f>IFERROR(__xludf.DUMMYFUNCTION("""COMPUTED_VALUE"""),"SEA STAR")</f>
        <v>SEA STAR</v>
      </c>
      <c r="D832" s="5">
        <f>IFERROR(__xludf.DUMMYFUNCTION("""COMPUTED_VALUE"""),7929619.0)</f>
        <v>7929619</v>
      </c>
      <c r="E832" s="5" t="str">
        <f>IFERROR(__xludf.DUMMYFUNCTION("""COMPUTED_VALUE"""),"Chornomorsk")</f>
        <v>Chornomorsk</v>
      </c>
      <c r="F832" s="5" t="str">
        <f>IFERROR(__xludf.DUMMYFUNCTION("""COMPUTED_VALUE"""),"Türkiye")</f>
        <v>Türkiye</v>
      </c>
      <c r="G832" s="5" t="str">
        <f>IFERROR(__xludf.DUMMYFUNCTION("""COMPUTED_VALUE"""),"Wheat")</f>
        <v>Wheat</v>
      </c>
      <c r="H832" s="6">
        <f>IFERROR(__xludf.DUMMYFUNCTION("""COMPUTED_VALUE"""),4950.0)</f>
        <v>4950</v>
      </c>
      <c r="I832" s="7">
        <f>IFERROR(__xludf.DUMMYFUNCTION("""COMPUTED_VALUE"""),44840.0)</f>
        <v>44840</v>
      </c>
      <c r="J832" s="7">
        <f>IFERROR(__xludf.DUMMYFUNCTION("""COMPUTED_VALUE"""),44862.0)</f>
        <v>44862</v>
      </c>
      <c r="K832" s="5" t="str">
        <f>IFERROR(__xludf.DUMMYFUNCTION("""COMPUTED_VALUE"""),"upper-middle-income")</f>
        <v>upper-middle-income</v>
      </c>
      <c r="L832" s="5" t="str">
        <f>IFERROR(__xludf.DUMMYFUNCTION("""COMPUTED_VALUE"""),"Palau")</f>
        <v>Palau</v>
      </c>
      <c r="M832" s="5" t="str">
        <f>IFERROR(__xludf.DUMMYFUNCTION("""COMPUTED_VALUE"""),"Europe &amp; Central Asia")</f>
        <v>Europe &amp; Central Asia</v>
      </c>
      <c r="N832" s="5" t="str">
        <f>IFERROR(__xludf.DUMMYFUNCTION("""COMPUTED_VALUE"""),"Asia-Pacific")</f>
        <v>Asia-Pacific</v>
      </c>
      <c r="O832" s="5" t="str">
        <f>IFERROR(__xludf.DUMMYFUNCTION("""COMPUTED_VALUE"""),"developing")</f>
        <v>developing</v>
      </c>
      <c r="P832" s="5"/>
      <c r="Q832" s="5"/>
    </row>
    <row r="833">
      <c r="A833" s="5" t="str">
        <f>IFERROR(__xludf.DUMMYFUNCTION("""COMPUTED_VALUE"""),"Outbound")</f>
        <v>Outbound</v>
      </c>
      <c r="B833" s="5">
        <f>IFERROR(__xludf.DUMMYFUNCTION("""COMPUTED_VALUE"""),276.0)</f>
        <v>276</v>
      </c>
      <c r="C833" s="5" t="str">
        <f>IFERROR(__xludf.DUMMYFUNCTION("""COMPUTED_VALUE"""),"MERA")</f>
        <v>MERA</v>
      </c>
      <c r="D833" s="5">
        <f>IFERROR(__xludf.DUMMYFUNCTION("""COMPUTED_VALUE"""),9148570.0)</f>
        <v>9148570</v>
      </c>
      <c r="E833" s="5" t="str">
        <f>IFERROR(__xludf.DUMMYFUNCTION("""COMPUTED_VALUE"""),"Yuzhny/Pivdennyi")</f>
        <v>Yuzhny/Pivdennyi</v>
      </c>
      <c r="F833" s="5" t="str">
        <f>IFERROR(__xludf.DUMMYFUNCTION("""COMPUTED_VALUE"""),"Türkiye")</f>
        <v>Türkiye</v>
      </c>
      <c r="G833" s="5" t="str">
        <f>IFERROR(__xludf.DUMMYFUNCTION("""COMPUTED_VALUE"""),"Sunflower oil")</f>
        <v>Sunflower oil</v>
      </c>
      <c r="H833" s="6">
        <f>IFERROR(__xludf.DUMMYFUNCTION("""COMPUTED_VALUE"""),6300.0)</f>
        <v>6300</v>
      </c>
      <c r="I833" s="7">
        <f>IFERROR(__xludf.DUMMYFUNCTION("""COMPUTED_VALUE"""),44840.0)</f>
        <v>44840</v>
      </c>
      <c r="J833" s="7">
        <f>IFERROR(__xludf.DUMMYFUNCTION("""COMPUTED_VALUE"""),44850.0)</f>
        <v>44850</v>
      </c>
      <c r="K833" s="5" t="str">
        <f>IFERROR(__xludf.DUMMYFUNCTION("""COMPUTED_VALUE"""),"upper-middle-income")</f>
        <v>upper-middle-income</v>
      </c>
      <c r="L833" s="5" t="str">
        <f>IFERROR(__xludf.DUMMYFUNCTION("""COMPUTED_VALUE"""),"Liberia")</f>
        <v>Liberia</v>
      </c>
      <c r="M833" s="5" t="str">
        <f>IFERROR(__xludf.DUMMYFUNCTION("""COMPUTED_VALUE"""),"Europe &amp; Central Asia")</f>
        <v>Europe &amp; Central Asia</v>
      </c>
      <c r="N833" s="5" t="str">
        <f>IFERROR(__xludf.DUMMYFUNCTION("""COMPUTED_VALUE"""),"Asia-Pacific")</f>
        <v>Asia-Pacific</v>
      </c>
      <c r="O833" s="5" t="str">
        <f>IFERROR(__xludf.DUMMYFUNCTION("""COMPUTED_VALUE"""),"developing")</f>
        <v>developing</v>
      </c>
      <c r="P833" s="5"/>
      <c r="Q833" s="5"/>
    </row>
    <row r="834">
      <c r="A834" s="5" t="str">
        <f>IFERROR(__xludf.DUMMYFUNCTION("""COMPUTED_VALUE"""),"Outbound")</f>
        <v>Outbound</v>
      </c>
      <c r="B834" s="5">
        <f>IFERROR(__xludf.DUMMYFUNCTION("""COMPUTED_VALUE"""),275.0)</f>
        <v>275</v>
      </c>
      <c r="C834" s="5" t="str">
        <f>IFERROR(__xludf.DUMMYFUNCTION("""COMPUTED_VALUE"""),"MAGNOLIA")</f>
        <v>MAGNOLIA</v>
      </c>
      <c r="D834" s="5">
        <f>IFERROR(__xludf.DUMMYFUNCTION("""COMPUTED_VALUE"""),9575333.0)</f>
        <v>9575333</v>
      </c>
      <c r="E834" s="5" t="str">
        <f>IFERROR(__xludf.DUMMYFUNCTION("""COMPUTED_VALUE"""),"Chornomorsk")</f>
        <v>Chornomorsk</v>
      </c>
      <c r="F834" s="5" t="str">
        <f>IFERROR(__xludf.DUMMYFUNCTION("""COMPUTED_VALUE"""),"Türkiye")</f>
        <v>Türkiye</v>
      </c>
      <c r="G834" s="5" t="str">
        <f>IFERROR(__xludf.DUMMYFUNCTION("""COMPUTED_VALUE"""),"Sunflower oil")</f>
        <v>Sunflower oil</v>
      </c>
      <c r="H834" s="6">
        <f>IFERROR(__xludf.DUMMYFUNCTION("""COMPUTED_VALUE"""),6600.0)</f>
        <v>6600</v>
      </c>
      <c r="I834" s="7">
        <f>IFERROR(__xludf.DUMMYFUNCTION("""COMPUTED_VALUE"""),44840.0)</f>
        <v>44840</v>
      </c>
      <c r="J834" s="7">
        <f>IFERROR(__xludf.DUMMYFUNCTION("""COMPUTED_VALUE"""),44850.0)</f>
        <v>44850</v>
      </c>
      <c r="K834" s="5" t="str">
        <f>IFERROR(__xludf.DUMMYFUNCTION("""COMPUTED_VALUE"""),"upper-middle-income")</f>
        <v>upper-middle-income</v>
      </c>
      <c r="L834" s="5" t="str">
        <f>IFERROR(__xludf.DUMMYFUNCTION("""COMPUTED_VALUE"""),"Liberia")</f>
        <v>Liberia</v>
      </c>
      <c r="M834" s="5" t="str">
        <f>IFERROR(__xludf.DUMMYFUNCTION("""COMPUTED_VALUE"""),"Europe &amp; Central Asia")</f>
        <v>Europe &amp; Central Asia</v>
      </c>
      <c r="N834" s="5" t="str">
        <f>IFERROR(__xludf.DUMMYFUNCTION("""COMPUTED_VALUE"""),"Asia-Pacific")</f>
        <v>Asia-Pacific</v>
      </c>
      <c r="O834" s="5" t="str">
        <f>IFERROR(__xludf.DUMMYFUNCTION("""COMPUTED_VALUE"""),"developing")</f>
        <v>developing</v>
      </c>
      <c r="P834" s="5"/>
      <c r="Q834" s="5"/>
    </row>
    <row r="835">
      <c r="A835" s="5" t="str">
        <f>IFERROR(__xludf.DUMMYFUNCTION("""COMPUTED_VALUE"""),"Outbound")</f>
        <v>Outbound</v>
      </c>
      <c r="B835" s="5">
        <f>IFERROR(__xludf.DUMMYFUNCTION("""COMPUTED_VALUE"""),274.0)</f>
        <v>274</v>
      </c>
      <c r="C835" s="5" t="str">
        <f>IFERROR(__xludf.DUMMYFUNCTION("""COMPUTED_VALUE"""),"HASAN G")</f>
        <v>HASAN G</v>
      </c>
      <c r="D835" s="5">
        <f>IFERROR(__xludf.DUMMYFUNCTION("""COMPUTED_VALUE"""),9136852.0)</f>
        <v>9136852</v>
      </c>
      <c r="E835" s="5" t="str">
        <f>IFERROR(__xludf.DUMMYFUNCTION("""COMPUTED_VALUE"""),"Yuzhny/Pivdennyi")</f>
        <v>Yuzhny/Pivdennyi</v>
      </c>
      <c r="F835" s="5" t="str">
        <f>IFERROR(__xludf.DUMMYFUNCTION("""COMPUTED_VALUE"""),"Türkiye")</f>
        <v>Türkiye</v>
      </c>
      <c r="G835" s="5" t="str">
        <f>IFERROR(__xludf.DUMMYFUNCTION("""COMPUTED_VALUE"""),"Peas")</f>
        <v>Peas</v>
      </c>
      <c r="H835" s="6">
        <f>IFERROR(__xludf.DUMMYFUNCTION("""COMPUTED_VALUE"""),6500.0)</f>
        <v>6500</v>
      </c>
      <c r="I835" s="7">
        <f>IFERROR(__xludf.DUMMYFUNCTION("""COMPUTED_VALUE"""),44840.0)</f>
        <v>44840</v>
      </c>
      <c r="J835" s="7">
        <f>IFERROR(__xludf.DUMMYFUNCTION("""COMPUTED_VALUE"""),44859.0)</f>
        <v>44859</v>
      </c>
      <c r="K835" s="5" t="str">
        <f>IFERROR(__xludf.DUMMYFUNCTION("""COMPUTED_VALUE"""),"upper-middle-income")</f>
        <v>upper-middle-income</v>
      </c>
      <c r="L835" s="5" t="str">
        <f>IFERROR(__xludf.DUMMYFUNCTION("""COMPUTED_VALUE"""),"Comoros")</f>
        <v>Comoros</v>
      </c>
      <c r="M835" s="5" t="str">
        <f>IFERROR(__xludf.DUMMYFUNCTION("""COMPUTED_VALUE"""),"Europe &amp; Central Asia")</f>
        <v>Europe &amp; Central Asia</v>
      </c>
      <c r="N835" s="5" t="str">
        <f>IFERROR(__xludf.DUMMYFUNCTION("""COMPUTED_VALUE"""),"Asia-Pacific")</f>
        <v>Asia-Pacific</v>
      </c>
      <c r="O835" s="5" t="str">
        <f>IFERROR(__xludf.DUMMYFUNCTION("""COMPUTED_VALUE"""),"developing")</f>
        <v>developing</v>
      </c>
      <c r="P835" s="5"/>
      <c r="Q835" s="5"/>
    </row>
    <row r="836">
      <c r="A836" s="5" t="str">
        <f>IFERROR(__xludf.DUMMYFUNCTION("""COMPUTED_VALUE"""),"Outbound")</f>
        <v>Outbound</v>
      </c>
      <c r="B836" s="5">
        <f>IFERROR(__xludf.DUMMYFUNCTION("""COMPUTED_VALUE"""),273.0)</f>
        <v>273</v>
      </c>
      <c r="C836" s="5" t="str">
        <f>IFERROR(__xludf.DUMMYFUNCTION("""COMPUTED_VALUE"""),"FALCON S")</f>
        <v>FALCON S</v>
      </c>
      <c r="D836" s="5">
        <f>IFERROR(__xludf.DUMMYFUNCTION("""COMPUTED_VALUE"""),9329423.0)</f>
        <v>9329423</v>
      </c>
      <c r="E836" s="5" t="str">
        <f>IFERROR(__xludf.DUMMYFUNCTION("""COMPUTED_VALUE"""),"Chornomorsk")</f>
        <v>Chornomorsk</v>
      </c>
      <c r="F836" s="5" t="str">
        <f>IFERROR(__xludf.DUMMYFUNCTION("""COMPUTED_VALUE"""),"Romania")</f>
        <v>Romania</v>
      </c>
      <c r="G836" s="5" t="str">
        <f>IFERROR(__xludf.DUMMYFUNCTION("""COMPUTED_VALUE"""),"Corn")</f>
        <v>Corn</v>
      </c>
      <c r="H836" s="6">
        <f>IFERROR(__xludf.DUMMYFUNCTION("""COMPUTED_VALUE"""),33000.0)</f>
        <v>33000</v>
      </c>
      <c r="I836" s="7">
        <f>IFERROR(__xludf.DUMMYFUNCTION("""COMPUTED_VALUE"""),44840.0)</f>
        <v>44840</v>
      </c>
      <c r="J836" s="7">
        <f>IFERROR(__xludf.DUMMYFUNCTION("""COMPUTED_VALUE"""),44859.0)</f>
        <v>44859</v>
      </c>
      <c r="K836" s="5" t="str">
        <f>IFERROR(__xludf.DUMMYFUNCTION("""COMPUTED_VALUE"""),"high-income")</f>
        <v>high-income</v>
      </c>
      <c r="L836" s="5" t="str">
        <f>IFERROR(__xludf.DUMMYFUNCTION("""COMPUTED_VALUE"""),"Liberia")</f>
        <v>Liberia</v>
      </c>
      <c r="M836" s="5" t="str">
        <f>IFERROR(__xludf.DUMMYFUNCTION("""COMPUTED_VALUE"""),"Europe &amp; Central Asia")</f>
        <v>Europe &amp; Central Asia</v>
      </c>
      <c r="N836" s="5" t="str">
        <f>IFERROR(__xludf.DUMMYFUNCTION("""COMPUTED_VALUE"""),"Eastern Europe")</f>
        <v>Eastern Europe</v>
      </c>
      <c r="O836" s="5" t="str">
        <f>IFERROR(__xludf.DUMMYFUNCTION("""COMPUTED_VALUE"""),"developed")</f>
        <v>developed</v>
      </c>
      <c r="P836" s="5"/>
      <c r="Q836" s="5"/>
    </row>
    <row r="837">
      <c r="A837" s="5" t="str">
        <f>IFERROR(__xludf.DUMMYFUNCTION("""COMPUTED_VALUE"""),"Outbound")</f>
        <v>Outbound</v>
      </c>
      <c r="B837" s="5">
        <f>IFERROR(__xludf.DUMMYFUNCTION("""COMPUTED_VALUE"""),272.0)</f>
        <v>272</v>
      </c>
      <c r="C837" s="5" t="str">
        <f>IFERROR(__xludf.DUMMYFUNCTION("""COMPUTED_VALUE"""),"ANASTASIA")</f>
        <v>ANASTASIA</v>
      </c>
      <c r="D837" s="5">
        <f>IFERROR(__xludf.DUMMYFUNCTION("""COMPUTED_VALUE"""),8926121.0)</f>
        <v>8926121</v>
      </c>
      <c r="E837" s="5" t="str">
        <f>IFERROR(__xludf.DUMMYFUNCTION("""COMPUTED_VALUE"""),"Chornomorsk")</f>
        <v>Chornomorsk</v>
      </c>
      <c r="F837" s="5" t="str">
        <f>IFERROR(__xludf.DUMMYFUNCTION("""COMPUTED_VALUE"""),"Türkiye")</f>
        <v>Türkiye</v>
      </c>
      <c r="G837" s="5" t="str">
        <f>IFERROR(__xludf.DUMMYFUNCTION("""COMPUTED_VALUE"""),"Wheat")</f>
        <v>Wheat</v>
      </c>
      <c r="H837" s="6">
        <f>IFERROR(__xludf.DUMMYFUNCTION("""COMPUTED_VALUE"""),3700.0)</f>
        <v>3700</v>
      </c>
      <c r="I837" s="7">
        <f>IFERROR(__xludf.DUMMYFUNCTION("""COMPUTED_VALUE"""),44840.0)</f>
        <v>44840</v>
      </c>
      <c r="J837" s="7">
        <f>IFERROR(__xludf.DUMMYFUNCTION("""COMPUTED_VALUE"""),44861.0)</f>
        <v>44861</v>
      </c>
      <c r="K837" s="5" t="str">
        <f>IFERROR(__xludf.DUMMYFUNCTION("""COMPUTED_VALUE"""),"upper-middle-income")</f>
        <v>upper-middle-income</v>
      </c>
      <c r="L837" s="5" t="str">
        <f>IFERROR(__xludf.DUMMYFUNCTION("""COMPUTED_VALUE"""),"Palau")</f>
        <v>Palau</v>
      </c>
      <c r="M837" s="5" t="str">
        <f>IFERROR(__xludf.DUMMYFUNCTION("""COMPUTED_VALUE"""),"Europe &amp; Central Asia")</f>
        <v>Europe &amp; Central Asia</v>
      </c>
      <c r="N837" s="5" t="str">
        <f>IFERROR(__xludf.DUMMYFUNCTION("""COMPUTED_VALUE"""),"Asia-Pacific")</f>
        <v>Asia-Pacific</v>
      </c>
      <c r="O837" s="5" t="str">
        <f>IFERROR(__xludf.DUMMYFUNCTION("""COMPUTED_VALUE"""),"developing")</f>
        <v>developing</v>
      </c>
      <c r="P837" s="5"/>
      <c r="Q837" s="5"/>
    </row>
    <row r="838">
      <c r="A838" s="5" t="str">
        <f>IFERROR(__xludf.DUMMYFUNCTION("""COMPUTED_VALUE"""),"Outbound")</f>
        <v>Outbound</v>
      </c>
      <c r="B838" s="5">
        <f>IFERROR(__xludf.DUMMYFUNCTION("""COMPUTED_VALUE"""),271.0)</f>
        <v>271</v>
      </c>
      <c r="C838" s="5" t="str">
        <f>IFERROR(__xludf.DUMMYFUNCTION("""COMPUTED_VALUE"""),"NEW EXPLORER")</f>
        <v>NEW EXPLORER</v>
      </c>
      <c r="D838" s="5">
        <f>IFERROR(__xludf.DUMMYFUNCTION("""COMPUTED_VALUE"""),9481489.0)</f>
        <v>9481489</v>
      </c>
      <c r="E838" s="5" t="str">
        <f>IFERROR(__xludf.DUMMYFUNCTION("""COMPUTED_VALUE"""),"Yuzhny/Pivdennyi")</f>
        <v>Yuzhny/Pivdennyi</v>
      </c>
      <c r="F838" s="5" t="str">
        <f>IFERROR(__xludf.DUMMYFUNCTION("""COMPUTED_VALUE"""),"China")</f>
        <v>China</v>
      </c>
      <c r="G838" s="5" t="str">
        <f>IFERROR(__xludf.DUMMYFUNCTION("""COMPUTED_VALUE"""),"Sunflower meal")</f>
        <v>Sunflower meal</v>
      </c>
      <c r="H838" s="6">
        <f>IFERROR(__xludf.DUMMYFUNCTION("""COMPUTED_VALUE"""),60000.0)</f>
        <v>60000</v>
      </c>
      <c r="I838" s="7">
        <f>IFERROR(__xludf.DUMMYFUNCTION("""COMPUTED_VALUE"""),44839.0)</f>
        <v>44839</v>
      </c>
      <c r="J838" s="7">
        <f>IFERROR(__xludf.DUMMYFUNCTION("""COMPUTED_VALUE"""),44857.0)</f>
        <v>44857</v>
      </c>
      <c r="K838" s="5" t="str">
        <f>IFERROR(__xludf.DUMMYFUNCTION("""COMPUTED_VALUE"""),"upper-middle-income")</f>
        <v>upper-middle-income</v>
      </c>
      <c r="L838" s="5" t="str">
        <f>IFERROR(__xludf.DUMMYFUNCTION("""COMPUTED_VALUE"""),"Liberia")</f>
        <v>Liberia</v>
      </c>
      <c r="M838" s="5" t="str">
        <f>IFERROR(__xludf.DUMMYFUNCTION("""COMPUTED_VALUE"""),"East Asia &amp; Pacific")</f>
        <v>East Asia &amp; Pacific</v>
      </c>
      <c r="N838" s="5" t="str">
        <f>IFERROR(__xludf.DUMMYFUNCTION("""COMPUTED_VALUE"""),"Asia-Pacific")</f>
        <v>Asia-Pacific</v>
      </c>
      <c r="O838" s="5" t="str">
        <f>IFERROR(__xludf.DUMMYFUNCTION("""COMPUTED_VALUE"""),"developing")</f>
        <v>developing</v>
      </c>
      <c r="P838" s="5"/>
      <c r="Q838" s="5"/>
    </row>
    <row r="839">
      <c r="A839" s="5" t="str">
        <f>IFERROR(__xludf.DUMMYFUNCTION("""COMPUTED_VALUE"""),"Outbound")</f>
        <v>Outbound</v>
      </c>
      <c r="B839" s="5">
        <f>IFERROR(__xludf.DUMMYFUNCTION("""COMPUTED_VALUE"""),270.0)</f>
        <v>270</v>
      </c>
      <c r="C839" s="5" t="str">
        <f>IFERROR(__xludf.DUMMYFUNCTION("""COMPUTED_VALUE"""),"MRC LINA")</f>
        <v>MRC LINA</v>
      </c>
      <c r="D839" s="5">
        <f>IFERROR(__xludf.DUMMYFUNCTION("""COMPUTED_VALUE"""),9462299.0)</f>
        <v>9462299</v>
      </c>
      <c r="E839" s="5" t="str">
        <f>IFERROR(__xludf.DUMMYFUNCTION("""COMPUTED_VALUE"""),"Yuzhny/Pivdennyi")</f>
        <v>Yuzhny/Pivdennyi</v>
      </c>
      <c r="F839" s="5" t="str">
        <f>IFERROR(__xludf.DUMMYFUNCTION("""COMPUTED_VALUE"""),"Türkiye")</f>
        <v>Türkiye</v>
      </c>
      <c r="G839" s="5" t="str">
        <f>IFERROR(__xludf.DUMMYFUNCTION("""COMPUTED_VALUE"""),"Sunflower oil")</f>
        <v>Sunflower oil</v>
      </c>
      <c r="H839" s="6">
        <f>IFERROR(__xludf.DUMMYFUNCTION("""COMPUTED_VALUE"""),7700.0)</f>
        <v>7700</v>
      </c>
      <c r="I839" s="7">
        <f>IFERROR(__xludf.DUMMYFUNCTION("""COMPUTED_VALUE"""),44839.0)</f>
        <v>44839</v>
      </c>
      <c r="J839" s="7">
        <f>IFERROR(__xludf.DUMMYFUNCTION("""COMPUTED_VALUE"""),44851.0)</f>
        <v>44851</v>
      </c>
      <c r="K839" s="5" t="str">
        <f>IFERROR(__xludf.DUMMYFUNCTION("""COMPUTED_VALUE"""),"upper-middle-income")</f>
        <v>upper-middle-income</v>
      </c>
      <c r="L839" s="5" t="str">
        <f>IFERROR(__xludf.DUMMYFUNCTION("""COMPUTED_VALUE"""),"Malta")</f>
        <v>Malta</v>
      </c>
      <c r="M839" s="5" t="str">
        <f>IFERROR(__xludf.DUMMYFUNCTION("""COMPUTED_VALUE"""),"Europe &amp; Central Asia")</f>
        <v>Europe &amp; Central Asia</v>
      </c>
      <c r="N839" s="5" t="str">
        <f>IFERROR(__xludf.DUMMYFUNCTION("""COMPUTED_VALUE"""),"Asia-Pacific")</f>
        <v>Asia-Pacific</v>
      </c>
      <c r="O839" s="5" t="str">
        <f>IFERROR(__xludf.DUMMYFUNCTION("""COMPUTED_VALUE"""),"developing")</f>
        <v>developing</v>
      </c>
      <c r="P839" s="5"/>
      <c r="Q839" s="5"/>
    </row>
    <row r="840">
      <c r="A840" s="5" t="str">
        <f>IFERROR(__xludf.DUMMYFUNCTION("""COMPUTED_VALUE"""),"Outbound")</f>
        <v>Outbound</v>
      </c>
      <c r="B840" s="5">
        <f>IFERROR(__xludf.DUMMYFUNCTION("""COMPUTED_VALUE"""),269.0)</f>
        <v>269</v>
      </c>
      <c r="C840" s="5" t="str">
        <f>IFERROR(__xludf.DUMMYFUNCTION("""COMPUTED_VALUE"""),"BRIZA")</f>
        <v>BRIZA</v>
      </c>
      <c r="D840" s="5">
        <f>IFERROR(__xludf.DUMMYFUNCTION("""COMPUTED_VALUE"""),9286815.0)</f>
        <v>9286815</v>
      </c>
      <c r="E840" s="5" t="str">
        <f>IFERROR(__xludf.DUMMYFUNCTION("""COMPUTED_VALUE"""),"Odesa")</f>
        <v>Odesa</v>
      </c>
      <c r="F840" s="5" t="str">
        <f>IFERROR(__xludf.DUMMYFUNCTION("""COMPUTED_VALUE"""),"Italy")</f>
        <v>Italy</v>
      </c>
      <c r="G840" s="5" t="str">
        <f>IFERROR(__xludf.DUMMYFUNCTION("""COMPUTED_VALUE"""),"Soya beans")</f>
        <v>Soya beans</v>
      </c>
      <c r="H840" s="6">
        <f>IFERROR(__xludf.DUMMYFUNCTION("""COMPUTED_VALUE"""),6600.0)</f>
        <v>6600</v>
      </c>
      <c r="I840" s="7">
        <f>IFERROR(__xludf.DUMMYFUNCTION("""COMPUTED_VALUE"""),44839.0)</f>
        <v>44839</v>
      </c>
      <c r="J840" s="7">
        <f>IFERROR(__xludf.DUMMYFUNCTION("""COMPUTED_VALUE"""),44855.0)</f>
        <v>44855</v>
      </c>
      <c r="K840" s="5" t="str">
        <f>IFERROR(__xludf.DUMMYFUNCTION("""COMPUTED_VALUE"""),"high-income")</f>
        <v>high-income</v>
      </c>
      <c r="L840" s="5" t="str">
        <f>IFERROR(__xludf.DUMMYFUNCTION("""COMPUTED_VALUE"""),"Cook Islands")</f>
        <v>Cook Islands</v>
      </c>
      <c r="M840" s="5" t="str">
        <f>IFERROR(__xludf.DUMMYFUNCTION("""COMPUTED_VALUE"""),"Europe &amp; Central Asia")</f>
        <v>Europe &amp; Central Asia</v>
      </c>
      <c r="N840" s="5" t="str">
        <f>IFERROR(__xludf.DUMMYFUNCTION("""COMPUTED_VALUE"""),"Western Europe and Others")</f>
        <v>Western Europe and Others</v>
      </c>
      <c r="O840" s="5" t="str">
        <f>IFERROR(__xludf.DUMMYFUNCTION("""COMPUTED_VALUE"""),"developed")</f>
        <v>developed</v>
      </c>
      <c r="P840" s="5"/>
      <c r="Q840" s="5"/>
    </row>
    <row r="841">
      <c r="A841" s="5" t="str">
        <f>IFERROR(__xludf.DUMMYFUNCTION("""COMPUTED_VALUE"""),"Outbound")</f>
        <v>Outbound</v>
      </c>
      <c r="B841" s="5">
        <f>IFERROR(__xludf.DUMMYFUNCTION("""COMPUTED_VALUE"""),268.0)</f>
        <v>268</v>
      </c>
      <c r="C841" s="5" t="str">
        <f>IFERROR(__xludf.DUMMYFUNCTION("""COMPUTED_VALUE"""),"SSI RELIANCE")</f>
        <v>SSI RELIANCE</v>
      </c>
      <c r="D841" s="5">
        <f>IFERROR(__xludf.DUMMYFUNCTION("""COMPUTED_VALUE"""),9655224.0)</f>
        <v>9655224</v>
      </c>
      <c r="E841" s="5" t="str">
        <f>IFERROR(__xludf.DUMMYFUNCTION("""COMPUTED_VALUE"""),"Chornomorsk")</f>
        <v>Chornomorsk</v>
      </c>
      <c r="F841" s="5" t="str">
        <f>IFERROR(__xludf.DUMMYFUNCTION("""COMPUTED_VALUE"""),"Spain")</f>
        <v>Spain</v>
      </c>
      <c r="G841" s="5" t="str">
        <f>IFERROR(__xludf.DUMMYFUNCTION("""COMPUTED_VALUE"""),"Corn")</f>
        <v>Corn</v>
      </c>
      <c r="H841" s="6">
        <f>IFERROR(__xludf.DUMMYFUNCTION("""COMPUTED_VALUE"""),33860.0)</f>
        <v>33860</v>
      </c>
      <c r="I841" s="7">
        <f>IFERROR(__xludf.DUMMYFUNCTION("""COMPUTED_VALUE"""),44838.0)</f>
        <v>44838</v>
      </c>
      <c r="J841" s="7">
        <f>IFERROR(__xludf.DUMMYFUNCTION("""COMPUTED_VALUE"""),44857.0)</f>
        <v>44857</v>
      </c>
      <c r="K841" s="5" t="str">
        <f>IFERROR(__xludf.DUMMYFUNCTION("""COMPUTED_VALUE"""),"high-income")</f>
        <v>high-income</v>
      </c>
      <c r="L841" s="5" t="str">
        <f>IFERROR(__xludf.DUMMYFUNCTION("""COMPUTED_VALUE"""),"Marshall Islands")</f>
        <v>Marshall Islands</v>
      </c>
      <c r="M841" s="5" t="str">
        <f>IFERROR(__xludf.DUMMYFUNCTION("""COMPUTED_VALUE"""),"Europe &amp; Central Asia")</f>
        <v>Europe &amp; Central Asia</v>
      </c>
      <c r="N841" s="5" t="str">
        <f>IFERROR(__xludf.DUMMYFUNCTION("""COMPUTED_VALUE"""),"Western Europe and Others")</f>
        <v>Western Europe and Others</v>
      </c>
      <c r="O841" s="5" t="str">
        <f>IFERROR(__xludf.DUMMYFUNCTION("""COMPUTED_VALUE"""),"developed")</f>
        <v>developed</v>
      </c>
      <c r="P841" s="5"/>
      <c r="Q841" s="5"/>
    </row>
    <row r="842">
      <c r="A842" s="5" t="str">
        <f>IFERROR(__xludf.DUMMYFUNCTION("""COMPUTED_VALUE"""),"Outbound")</f>
        <v>Outbound</v>
      </c>
      <c r="B842" s="5">
        <f>IFERROR(__xludf.DUMMYFUNCTION("""COMPUTED_VALUE"""),267.0)</f>
        <v>267</v>
      </c>
      <c r="C842" s="5" t="str">
        <f>IFERROR(__xludf.DUMMYFUNCTION("""COMPUTED_VALUE"""),"SAM")</f>
        <v>SAM</v>
      </c>
      <c r="D842" s="5">
        <f>IFERROR(__xludf.DUMMYFUNCTION("""COMPUTED_VALUE"""),7510884.0)</f>
        <v>7510884</v>
      </c>
      <c r="E842" s="5" t="str">
        <f>IFERROR(__xludf.DUMMYFUNCTION("""COMPUTED_VALUE"""),"Odesa")</f>
        <v>Odesa</v>
      </c>
      <c r="F842" s="5" t="str">
        <f>IFERROR(__xludf.DUMMYFUNCTION("""COMPUTED_VALUE"""),"Türkiye")</f>
        <v>Türkiye</v>
      </c>
      <c r="G842" s="5" t="str">
        <f>IFERROR(__xludf.DUMMYFUNCTION("""COMPUTED_VALUE"""),"Corn")</f>
        <v>Corn</v>
      </c>
      <c r="H842" s="6">
        <f>IFERROR(__xludf.DUMMYFUNCTION("""COMPUTED_VALUE"""),3000.0)</f>
        <v>3000</v>
      </c>
      <c r="I842" s="7">
        <f>IFERROR(__xludf.DUMMYFUNCTION("""COMPUTED_VALUE"""),44838.0)</f>
        <v>44838</v>
      </c>
      <c r="J842" s="7">
        <f>IFERROR(__xludf.DUMMYFUNCTION("""COMPUTED_VALUE"""),44859.0)</f>
        <v>44859</v>
      </c>
      <c r="K842" s="5" t="str">
        <f>IFERROR(__xludf.DUMMYFUNCTION("""COMPUTED_VALUE"""),"upper-middle-income")</f>
        <v>upper-middle-income</v>
      </c>
      <c r="L842" s="5" t="str">
        <f>IFERROR(__xludf.DUMMYFUNCTION("""COMPUTED_VALUE"""),"Togo")</f>
        <v>Togo</v>
      </c>
      <c r="M842" s="5" t="str">
        <f>IFERROR(__xludf.DUMMYFUNCTION("""COMPUTED_VALUE"""),"Europe &amp; Central Asia")</f>
        <v>Europe &amp; Central Asia</v>
      </c>
      <c r="N842" s="5" t="str">
        <f>IFERROR(__xludf.DUMMYFUNCTION("""COMPUTED_VALUE"""),"Asia-Pacific")</f>
        <v>Asia-Pacific</v>
      </c>
      <c r="O842" s="5" t="str">
        <f>IFERROR(__xludf.DUMMYFUNCTION("""COMPUTED_VALUE"""),"developing")</f>
        <v>developing</v>
      </c>
      <c r="P842" s="5"/>
      <c r="Q842" s="5"/>
    </row>
    <row r="843">
      <c r="A843" s="5" t="str">
        <f>IFERROR(__xludf.DUMMYFUNCTION("""COMPUTED_VALUE"""),"Outbound")</f>
        <v>Outbound</v>
      </c>
      <c r="B843" s="5">
        <f>IFERROR(__xludf.DUMMYFUNCTION("""COMPUTED_VALUE"""),266.0)</f>
        <v>266</v>
      </c>
      <c r="C843" s="5" t="str">
        <f>IFERROR(__xludf.DUMMYFUNCTION("""COMPUTED_VALUE"""),"PRETTY LADY")</f>
        <v>PRETTY LADY</v>
      </c>
      <c r="D843" s="5">
        <f>IFERROR(__xludf.DUMMYFUNCTION("""COMPUTED_VALUE"""),9223174.0)</f>
        <v>9223174</v>
      </c>
      <c r="E843" s="5" t="str">
        <f>IFERROR(__xludf.DUMMYFUNCTION("""COMPUTED_VALUE"""),"Chornomorsk")</f>
        <v>Chornomorsk</v>
      </c>
      <c r="F843" s="5" t="str">
        <f>IFERROR(__xludf.DUMMYFUNCTION("""COMPUTED_VALUE"""),"United Kingdom")</f>
        <v>United Kingdom</v>
      </c>
      <c r="G843" s="5" t="str">
        <f>IFERROR(__xludf.DUMMYFUNCTION("""COMPUTED_VALUE"""),"Rapeseed")</f>
        <v>Rapeseed</v>
      </c>
      <c r="H843" s="6">
        <f>IFERROR(__xludf.DUMMYFUNCTION("""COMPUTED_VALUE"""),41650.0)</f>
        <v>41650</v>
      </c>
      <c r="I843" s="7">
        <f>IFERROR(__xludf.DUMMYFUNCTION("""COMPUTED_VALUE"""),44838.0)</f>
        <v>44838</v>
      </c>
      <c r="J843" s="7">
        <f>IFERROR(__xludf.DUMMYFUNCTION("""COMPUTED_VALUE"""),44854.0)</f>
        <v>44854</v>
      </c>
      <c r="K843" s="5" t="str">
        <f>IFERROR(__xludf.DUMMYFUNCTION("""COMPUTED_VALUE"""),"high-income")</f>
        <v>high-income</v>
      </c>
      <c r="L843" s="5" t="str">
        <f>IFERROR(__xludf.DUMMYFUNCTION("""COMPUTED_VALUE"""),"Malta")</f>
        <v>Malta</v>
      </c>
      <c r="M843" s="5" t="str">
        <f>IFERROR(__xludf.DUMMYFUNCTION("""COMPUTED_VALUE"""),"Europe &amp; Central Asia")</f>
        <v>Europe &amp; Central Asia</v>
      </c>
      <c r="N843" s="5" t="str">
        <f>IFERROR(__xludf.DUMMYFUNCTION("""COMPUTED_VALUE"""),"Western Europe and Others")</f>
        <v>Western Europe and Others</v>
      </c>
      <c r="O843" s="5" t="str">
        <f>IFERROR(__xludf.DUMMYFUNCTION("""COMPUTED_VALUE"""),"developed")</f>
        <v>developed</v>
      </c>
      <c r="P843" s="5"/>
      <c r="Q843" s="5"/>
    </row>
    <row r="844">
      <c r="A844" s="5" t="str">
        <f>IFERROR(__xludf.DUMMYFUNCTION("""COMPUTED_VALUE"""),"Outbound")</f>
        <v>Outbound</v>
      </c>
      <c r="B844" s="5">
        <f>IFERROR(__xludf.DUMMYFUNCTION("""COMPUTED_VALUE"""),265.0)</f>
        <v>265</v>
      </c>
      <c r="C844" s="5" t="str">
        <f>IFERROR(__xludf.DUMMYFUNCTION("""COMPUTED_VALUE"""),"INANDI")</f>
        <v>INANDI</v>
      </c>
      <c r="D844" s="5">
        <f>IFERROR(__xludf.DUMMYFUNCTION("""COMPUTED_VALUE"""),8332100.0)</f>
        <v>8332100</v>
      </c>
      <c r="E844" s="5" t="str">
        <f>IFERROR(__xludf.DUMMYFUNCTION("""COMPUTED_VALUE"""),"Odesa")</f>
        <v>Odesa</v>
      </c>
      <c r="F844" s="5" t="str">
        <f>IFERROR(__xludf.DUMMYFUNCTION("""COMPUTED_VALUE"""),"Türkiye")</f>
        <v>Türkiye</v>
      </c>
      <c r="G844" s="5" t="str">
        <f>IFERROR(__xludf.DUMMYFUNCTION("""COMPUTED_VALUE"""),"Barley")</f>
        <v>Barley</v>
      </c>
      <c r="H844" s="6">
        <f>IFERROR(__xludf.DUMMYFUNCTION("""COMPUTED_VALUE"""),2750.0)</f>
        <v>2750</v>
      </c>
      <c r="I844" s="7">
        <f>IFERROR(__xludf.DUMMYFUNCTION("""COMPUTED_VALUE"""),44838.0)</f>
        <v>44838</v>
      </c>
      <c r="J844" s="7">
        <f>IFERROR(__xludf.DUMMYFUNCTION("""COMPUTED_VALUE"""),44855.0)</f>
        <v>44855</v>
      </c>
      <c r="K844" s="5" t="str">
        <f>IFERROR(__xludf.DUMMYFUNCTION("""COMPUTED_VALUE"""),"upper-middle-income")</f>
        <v>upper-middle-income</v>
      </c>
      <c r="L844" s="5" t="str">
        <f>IFERROR(__xludf.DUMMYFUNCTION("""COMPUTED_VALUE"""),"Panama")</f>
        <v>Panama</v>
      </c>
      <c r="M844" s="5" t="str">
        <f>IFERROR(__xludf.DUMMYFUNCTION("""COMPUTED_VALUE"""),"Europe &amp; Central Asia")</f>
        <v>Europe &amp; Central Asia</v>
      </c>
      <c r="N844" s="5" t="str">
        <f>IFERROR(__xludf.DUMMYFUNCTION("""COMPUTED_VALUE"""),"Asia-Pacific")</f>
        <v>Asia-Pacific</v>
      </c>
      <c r="O844" s="5" t="str">
        <f>IFERROR(__xludf.DUMMYFUNCTION("""COMPUTED_VALUE"""),"developing")</f>
        <v>developing</v>
      </c>
      <c r="P844" s="5"/>
      <c r="Q844" s="5"/>
    </row>
    <row r="845">
      <c r="A845" s="5" t="str">
        <f>IFERROR(__xludf.DUMMYFUNCTION("""COMPUTED_VALUE"""),"Outbound")</f>
        <v>Outbound</v>
      </c>
      <c r="B845" s="5">
        <f>IFERROR(__xludf.DUMMYFUNCTION("""COMPUTED_VALUE"""),264.0)</f>
        <v>264</v>
      </c>
      <c r="C845" s="5" t="str">
        <f>IFERROR(__xludf.DUMMYFUNCTION("""COMPUTED_VALUE"""),"CHRYSSA K")</f>
        <v>CHRYSSA K</v>
      </c>
      <c r="D845" s="5">
        <f>IFERROR(__xludf.DUMMYFUNCTION("""COMPUTED_VALUE"""),9595852.0)</f>
        <v>9595852</v>
      </c>
      <c r="E845" s="5" t="str">
        <f>IFERROR(__xludf.DUMMYFUNCTION("""COMPUTED_VALUE"""),"Yuzhny/Pivdennyi")</f>
        <v>Yuzhny/Pivdennyi</v>
      </c>
      <c r="F845" s="5" t="str">
        <f>IFERROR(__xludf.DUMMYFUNCTION("""COMPUTED_VALUE"""),"The Netherlands")</f>
        <v>The Netherlands</v>
      </c>
      <c r="G845" s="5" t="str">
        <f>IFERROR(__xludf.DUMMYFUNCTION("""COMPUTED_VALUE"""),"Corn")</f>
        <v>Corn</v>
      </c>
      <c r="H845" s="6">
        <f>IFERROR(__xludf.DUMMYFUNCTION("""COMPUTED_VALUE"""),30000.0)</f>
        <v>30000</v>
      </c>
      <c r="I845" s="7">
        <f>IFERROR(__xludf.DUMMYFUNCTION("""COMPUTED_VALUE"""),44838.0)</f>
        <v>44838</v>
      </c>
      <c r="J845" s="7">
        <f>IFERROR(__xludf.DUMMYFUNCTION("""COMPUTED_VALUE"""),44854.0)</f>
        <v>44854</v>
      </c>
      <c r="K845" s="5" t="str">
        <f>IFERROR(__xludf.DUMMYFUNCTION("""COMPUTED_VALUE"""),"high-income")</f>
        <v>high-income</v>
      </c>
      <c r="L845" s="5" t="str">
        <f>IFERROR(__xludf.DUMMYFUNCTION("""COMPUTED_VALUE"""),"Liberia")</f>
        <v>Liberia</v>
      </c>
      <c r="M845" s="5" t="str">
        <f>IFERROR(__xludf.DUMMYFUNCTION("""COMPUTED_VALUE"""),"Europe &amp; Central Asia")</f>
        <v>Europe &amp; Central Asia</v>
      </c>
      <c r="N845" s="5" t="str">
        <f>IFERROR(__xludf.DUMMYFUNCTION("""COMPUTED_VALUE"""),"Western Europe and Others")</f>
        <v>Western Europe and Others</v>
      </c>
      <c r="O845" s="5" t="str">
        <f>IFERROR(__xludf.DUMMYFUNCTION("""COMPUTED_VALUE"""),"developed")</f>
        <v>developed</v>
      </c>
      <c r="P845" s="5"/>
      <c r="Q845" s="5"/>
    </row>
    <row r="846">
      <c r="A846" s="5" t="str">
        <f>IFERROR(__xludf.DUMMYFUNCTION("""COMPUTED_VALUE"""),"Outbound +")</f>
        <v>Outbound +</v>
      </c>
      <c r="B846" s="5">
        <f>IFERROR(__xludf.DUMMYFUNCTION("""COMPUTED_VALUE"""),264.0)</f>
        <v>264</v>
      </c>
      <c r="C846" s="5" t="str">
        <f>IFERROR(__xludf.DUMMYFUNCTION("""COMPUTED_VALUE"""),"CHRYSSA K")</f>
        <v>CHRYSSA K</v>
      </c>
      <c r="D846" s="5">
        <f>IFERROR(__xludf.DUMMYFUNCTION("""COMPUTED_VALUE"""),9595852.0)</f>
        <v>9595852</v>
      </c>
      <c r="E846" s="5" t="str">
        <f>IFERROR(__xludf.DUMMYFUNCTION("""COMPUTED_VALUE"""),"Yuzhny/Pivdennyi")</f>
        <v>Yuzhny/Pivdennyi</v>
      </c>
      <c r="F846" s="5" t="str">
        <f>IFERROR(__xludf.DUMMYFUNCTION("""COMPUTED_VALUE"""),"Germany")</f>
        <v>Germany</v>
      </c>
      <c r="G846" s="5" t="str">
        <f>IFERROR(__xludf.DUMMYFUNCTION("""COMPUTED_VALUE"""),"Corn")</f>
        <v>Corn</v>
      </c>
      <c r="H846" s="6">
        <f>IFERROR(__xludf.DUMMYFUNCTION("""COMPUTED_VALUE"""),38000.0)</f>
        <v>38000</v>
      </c>
      <c r="I846" s="7">
        <f>IFERROR(__xludf.DUMMYFUNCTION("""COMPUTED_VALUE"""),44838.0)</f>
        <v>44838</v>
      </c>
      <c r="J846" s="7">
        <f>IFERROR(__xludf.DUMMYFUNCTION("""COMPUTED_VALUE"""),44854.0)</f>
        <v>44854</v>
      </c>
      <c r="K846" s="5" t="str">
        <f>IFERROR(__xludf.DUMMYFUNCTION("""COMPUTED_VALUE"""),"high-income")</f>
        <v>high-income</v>
      </c>
      <c r="L846" s="5" t="str">
        <f>IFERROR(__xludf.DUMMYFUNCTION("""COMPUTED_VALUE"""),"Liberia")</f>
        <v>Liberia</v>
      </c>
      <c r="M846" s="5" t="str">
        <f>IFERROR(__xludf.DUMMYFUNCTION("""COMPUTED_VALUE"""),"Europe &amp; Central Asia")</f>
        <v>Europe &amp; Central Asia</v>
      </c>
      <c r="N846" s="5" t="str">
        <f>IFERROR(__xludf.DUMMYFUNCTION("""COMPUTED_VALUE"""),"Western Europe and Others")</f>
        <v>Western Europe and Others</v>
      </c>
      <c r="O846" s="5" t="str">
        <f>IFERROR(__xludf.DUMMYFUNCTION("""COMPUTED_VALUE"""),"developed")</f>
        <v>developed</v>
      </c>
      <c r="P846" s="5"/>
      <c r="Q846" s="5"/>
    </row>
    <row r="847">
      <c r="A847" s="5" t="str">
        <f>IFERROR(__xludf.DUMMYFUNCTION("""COMPUTED_VALUE"""),"Outbound")</f>
        <v>Outbound</v>
      </c>
      <c r="B847" s="5">
        <f>IFERROR(__xludf.DUMMYFUNCTION("""COMPUTED_VALUE"""),263.0)</f>
        <v>263</v>
      </c>
      <c r="C847" s="5" t="str">
        <f>IFERROR(__xludf.DUMMYFUNCTION("""COMPUTED_VALUE"""),"BC CALLISTO")</f>
        <v>BC CALLISTO</v>
      </c>
      <c r="D847" s="5">
        <f>IFERROR(__xludf.DUMMYFUNCTION("""COMPUTED_VALUE"""),9400916.0)</f>
        <v>9400916</v>
      </c>
      <c r="E847" s="5" t="str">
        <f>IFERROR(__xludf.DUMMYFUNCTION("""COMPUTED_VALUE"""),"Chornomorsk")</f>
        <v>Chornomorsk</v>
      </c>
      <c r="F847" s="5" t="str">
        <f>IFERROR(__xludf.DUMMYFUNCTION("""COMPUTED_VALUE"""),"Algeria")</f>
        <v>Algeria</v>
      </c>
      <c r="G847" s="5" t="str">
        <f>IFERROR(__xludf.DUMMYFUNCTION("""COMPUTED_VALUE"""),"Wheat")</f>
        <v>Wheat</v>
      </c>
      <c r="H847" s="6">
        <f>IFERROR(__xludf.DUMMYFUNCTION("""COMPUTED_VALUE"""),30450.0)</f>
        <v>30450</v>
      </c>
      <c r="I847" s="7">
        <f>IFERROR(__xludf.DUMMYFUNCTION("""COMPUTED_VALUE"""),44838.0)</f>
        <v>44838</v>
      </c>
      <c r="J847" s="7">
        <f>IFERROR(__xludf.DUMMYFUNCTION("""COMPUTED_VALUE"""),44854.0)</f>
        <v>44854</v>
      </c>
      <c r="K847" s="5" t="str">
        <f>IFERROR(__xludf.DUMMYFUNCTION("""COMPUTED_VALUE"""),"lower-middle income")</f>
        <v>lower-middle income</v>
      </c>
      <c r="L847" s="5" t="str">
        <f>IFERROR(__xludf.DUMMYFUNCTION("""COMPUTED_VALUE"""),"Barbados")</f>
        <v>Barbados</v>
      </c>
      <c r="M847" s="5" t="str">
        <f>IFERROR(__xludf.DUMMYFUNCTION("""COMPUTED_VALUE"""),"Middle East &amp; North Africa")</f>
        <v>Middle East &amp; North Africa</v>
      </c>
      <c r="N847" s="5" t="str">
        <f>IFERROR(__xludf.DUMMYFUNCTION("""COMPUTED_VALUE"""),"Africa")</f>
        <v>Africa</v>
      </c>
      <c r="O847" s="5" t="str">
        <f>IFERROR(__xludf.DUMMYFUNCTION("""COMPUTED_VALUE"""),"developing")</f>
        <v>developing</v>
      </c>
      <c r="P847" s="5"/>
      <c r="Q847" s="5"/>
    </row>
    <row r="848">
      <c r="A848" s="5" t="str">
        <f>IFERROR(__xludf.DUMMYFUNCTION("""COMPUTED_VALUE"""),"Outbound")</f>
        <v>Outbound</v>
      </c>
      <c r="B848" s="5">
        <f>IFERROR(__xludf.DUMMYFUNCTION("""COMPUTED_VALUE"""),262.0)</f>
        <v>262</v>
      </c>
      <c r="C848" s="5" t="str">
        <f>IFERROR(__xludf.DUMMYFUNCTION("""COMPUTED_VALUE"""),"BARON")</f>
        <v>BARON</v>
      </c>
      <c r="D848" s="5">
        <f>IFERROR(__xludf.DUMMYFUNCTION("""COMPUTED_VALUE"""),7352476.0)</f>
        <v>7352476</v>
      </c>
      <c r="E848" s="5" t="str">
        <f>IFERROR(__xludf.DUMMYFUNCTION("""COMPUTED_VALUE"""),"Chornomorsk")</f>
        <v>Chornomorsk</v>
      </c>
      <c r="F848" s="5" t="str">
        <f>IFERROR(__xludf.DUMMYFUNCTION("""COMPUTED_VALUE"""),"Türkiye")</f>
        <v>Türkiye</v>
      </c>
      <c r="G848" s="5" t="str">
        <f>IFERROR(__xludf.DUMMYFUNCTION("""COMPUTED_VALUE"""),"Soya beans")</f>
        <v>Soya beans</v>
      </c>
      <c r="H848" s="6">
        <f>IFERROR(__xludf.DUMMYFUNCTION("""COMPUTED_VALUE"""),5500.0)</f>
        <v>5500</v>
      </c>
      <c r="I848" s="7">
        <f>IFERROR(__xludf.DUMMYFUNCTION("""COMPUTED_VALUE"""),44838.0)</f>
        <v>44838</v>
      </c>
      <c r="J848" s="7">
        <f>IFERROR(__xludf.DUMMYFUNCTION("""COMPUTED_VALUE"""),44857.0)</f>
        <v>44857</v>
      </c>
      <c r="K848" s="5" t="str">
        <f>IFERROR(__xludf.DUMMYFUNCTION("""COMPUTED_VALUE"""),"upper-middle-income")</f>
        <v>upper-middle-income</v>
      </c>
      <c r="L848" s="5" t="str">
        <f>IFERROR(__xludf.DUMMYFUNCTION("""COMPUTED_VALUE"""),"Equatorial Guinea")</f>
        <v>Equatorial Guinea</v>
      </c>
      <c r="M848" s="5" t="str">
        <f>IFERROR(__xludf.DUMMYFUNCTION("""COMPUTED_VALUE"""),"Europe &amp; Central Asia")</f>
        <v>Europe &amp; Central Asia</v>
      </c>
      <c r="N848" s="5" t="str">
        <f>IFERROR(__xludf.DUMMYFUNCTION("""COMPUTED_VALUE"""),"Asia-Pacific")</f>
        <v>Asia-Pacific</v>
      </c>
      <c r="O848" s="5" t="str">
        <f>IFERROR(__xludf.DUMMYFUNCTION("""COMPUTED_VALUE"""),"developing")</f>
        <v>developing</v>
      </c>
      <c r="P848" s="5"/>
      <c r="Q848" s="5"/>
    </row>
    <row r="849">
      <c r="A849" s="5" t="str">
        <f>IFERROR(__xludf.DUMMYFUNCTION("""COMPUTED_VALUE"""),"Outbound")</f>
        <v>Outbound</v>
      </c>
      <c r="B849" s="5">
        <f>IFERROR(__xludf.DUMMYFUNCTION("""COMPUTED_VALUE"""),261.0)</f>
        <v>261</v>
      </c>
      <c r="C849" s="5" t="str">
        <f>IFERROR(__xludf.DUMMYFUNCTION("""COMPUTED_VALUE"""),"ARGO I")</f>
        <v>ARGO I</v>
      </c>
      <c r="D849" s="5">
        <f>IFERROR(__xludf.DUMMYFUNCTION("""COMPUTED_VALUE"""),9583897.0)</f>
        <v>9583897</v>
      </c>
      <c r="E849" s="5" t="str">
        <f>IFERROR(__xludf.DUMMYFUNCTION("""COMPUTED_VALUE"""),"Chornomorsk")</f>
        <v>Chornomorsk</v>
      </c>
      <c r="F849" s="5" t="str">
        <f>IFERROR(__xludf.DUMMYFUNCTION("""COMPUTED_VALUE"""),"Egypt")</f>
        <v>Egypt</v>
      </c>
      <c r="G849" s="5" t="str">
        <f>IFERROR(__xludf.DUMMYFUNCTION("""COMPUTED_VALUE"""),"Corn")</f>
        <v>Corn</v>
      </c>
      <c r="H849" s="6">
        <f>IFERROR(__xludf.DUMMYFUNCTION("""COMPUTED_VALUE"""),31290.0)</f>
        <v>31290</v>
      </c>
      <c r="I849" s="7">
        <f>IFERROR(__xludf.DUMMYFUNCTION("""COMPUTED_VALUE"""),44838.0)</f>
        <v>44838</v>
      </c>
      <c r="J849" s="7">
        <f>IFERROR(__xludf.DUMMYFUNCTION("""COMPUTED_VALUE"""),44861.0)</f>
        <v>44861</v>
      </c>
      <c r="K849" s="5" t="str">
        <f>IFERROR(__xludf.DUMMYFUNCTION("""COMPUTED_VALUE"""),"lower-middle income")</f>
        <v>lower-middle income</v>
      </c>
      <c r="L849" s="5" t="str">
        <f>IFERROR(__xludf.DUMMYFUNCTION("""COMPUTED_VALUE"""),"Panama")</f>
        <v>Panama</v>
      </c>
      <c r="M849" s="5" t="str">
        <f>IFERROR(__xludf.DUMMYFUNCTION("""COMPUTED_VALUE"""),"Middle East &amp; North Africa")</f>
        <v>Middle East &amp; North Africa</v>
      </c>
      <c r="N849" s="5" t="str">
        <f>IFERROR(__xludf.DUMMYFUNCTION("""COMPUTED_VALUE"""),"Africa")</f>
        <v>Africa</v>
      </c>
      <c r="O849" s="5" t="str">
        <f>IFERROR(__xludf.DUMMYFUNCTION("""COMPUTED_VALUE"""),"developing")</f>
        <v>developing</v>
      </c>
      <c r="P849" s="5"/>
      <c r="Q849" s="5"/>
    </row>
    <row r="850">
      <c r="A850" s="5" t="str">
        <f>IFERROR(__xludf.DUMMYFUNCTION("""COMPUTED_VALUE"""),"Outbound")</f>
        <v>Outbound</v>
      </c>
      <c r="B850" s="5">
        <f>IFERROR(__xludf.DUMMYFUNCTION("""COMPUTED_VALUE"""),260.0)</f>
        <v>260</v>
      </c>
      <c r="C850" s="5" t="str">
        <f>IFERROR(__xludf.DUMMYFUNCTION("""COMPUTED_VALUE"""),"SPRING")</f>
        <v>SPRING</v>
      </c>
      <c r="D850" s="5">
        <f>IFERROR(__xludf.DUMMYFUNCTION("""COMPUTED_VALUE"""),8408650.0)</f>
        <v>8408650</v>
      </c>
      <c r="E850" s="5" t="str">
        <f>IFERROR(__xludf.DUMMYFUNCTION("""COMPUTED_VALUE"""),"Chornomorsk")</f>
        <v>Chornomorsk</v>
      </c>
      <c r="F850" s="5" t="str">
        <f>IFERROR(__xludf.DUMMYFUNCTION("""COMPUTED_VALUE"""),"Egypt")</f>
        <v>Egypt</v>
      </c>
      <c r="G850" s="5" t="str">
        <f>IFERROR(__xludf.DUMMYFUNCTION("""COMPUTED_VALUE"""),"Corn")</f>
        <v>Corn</v>
      </c>
      <c r="H850" s="6">
        <f>IFERROR(__xludf.DUMMYFUNCTION("""COMPUTED_VALUE"""),8000.0)</f>
        <v>8000</v>
      </c>
      <c r="I850" s="7">
        <f>IFERROR(__xludf.DUMMYFUNCTION("""COMPUTED_VALUE"""),44837.0)</f>
        <v>44837</v>
      </c>
      <c r="J850" s="7">
        <f>IFERROR(__xludf.DUMMYFUNCTION("""COMPUTED_VALUE"""),44855.0)</f>
        <v>44855</v>
      </c>
      <c r="K850" s="5" t="str">
        <f>IFERROR(__xludf.DUMMYFUNCTION("""COMPUTED_VALUE"""),"lower-middle income")</f>
        <v>lower-middle income</v>
      </c>
      <c r="L850" s="5" t="str">
        <f>IFERROR(__xludf.DUMMYFUNCTION("""COMPUTED_VALUE"""),"Comoros")</f>
        <v>Comoros</v>
      </c>
      <c r="M850" s="5" t="str">
        <f>IFERROR(__xludf.DUMMYFUNCTION("""COMPUTED_VALUE"""),"Middle East &amp; North Africa")</f>
        <v>Middle East &amp; North Africa</v>
      </c>
      <c r="N850" s="5" t="str">
        <f>IFERROR(__xludf.DUMMYFUNCTION("""COMPUTED_VALUE"""),"Africa")</f>
        <v>Africa</v>
      </c>
      <c r="O850" s="5" t="str">
        <f>IFERROR(__xludf.DUMMYFUNCTION("""COMPUTED_VALUE"""),"developing")</f>
        <v>developing</v>
      </c>
      <c r="P850" s="5"/>
      <c r="Q850" s="5"/>
    </row>
    <row r="851">
      <c r="A851" s="5" t="str">
        <f>IFERROR(__xludf.DUMMYFUNCTION("""COMPUTED_VALUE"""),"Outbound")</f>
        <v>Outbound</v>
      </c>
      <c r="B851" s="5">
        <f>IFERROR(__xludf.DUMMYFUNCTION("""COMPUTED_VALUE"""),259.0)</f>
        <v>259</v>
      </c>
      <c r="C851" s="5" t="str">
        <f>IFERROR(__xludf.DUMMYFUNCTION("""COMPUTED_VALUE"""),"SAFFET AGA")</f>
        <v>SAFFET AGA</v>
      </c>
      <c r="D851" s="5">
        <f>IFERROR(__xludf.DUMMYFUNCTION("""COMPUTED_VALUE"""),9376282.0)</f>
        <v>9376282</v>
      </c>
      <c r="E851" s="5" t="str">
        <f>IFERROR(__xludf.DUMMYFUNCTION("""COMPUTED_VALUE"""),"Chornomorsk")</f>
        <v>Chornomorsk</v>
      </c>
      <c r="F851" s="5" t="str">
        <f>IFERROR(__xludf.DUMMYFUNCTION("""COMPUTED_VALUE"""),"Türkiye")</f>
        <v>Türkiye</v>
      </c>
      <c r="G851" s="5" t="str">
        <f>IFERROR(__xludf.DUMMYFUNCTION("""COMPUTED_VALUE"""),"Corn")</f>
        <v>Corn</v>
      </c>
      <c r="H851" s="6">
        <f>IFERROR(__xludf.DUMMYFUNCTION("""COMPUTED_VALUE"""),3100.0)</f>
        <v>3100</v>
      </c>
      <c r="I851" s="7">
        <f>IFERROR(__xludf.DUMMYFUNCTION("""COMPUTED_VALUE"""),44837.0)</f>
        <v>44837</v>
      </c>
      <c r="J851" s="7">
        <f>IFERROR(__xludf.DUMMYFUNCTION("""COMPUTED_VALUE"""),44855.0)</f>
        <v>44855</v>
      </c>
      <c r="K851" s="5" t="str">
        <f>IFERROR(__xludf.DUMMYFUNCTION("""COMPUTED_VALUE"""),"upper-middle-income")</f>
        <v>upper-middle-income</v>
      </c>
      <c r="L851" s="5" t="str">
        <f>IFERROR(__xludf.DUMMYFUNCTION("""COMPUTED_VALUE"""),"Palau")</f>
        <v>Palau</v>
      </c>
      <c r="M851" s="5" t="str">
        <f>IFERROR(__xludf.DUMMYFUNCTION("""COMPUTED_VALUE"""),"Europe &amp; Central Asia")</f>
        <v>Europe &amp; Central Asia</v>
      </c>
      <c r="N851" s="5" t="str">
        <f>IFERROR(__xludf.DUMMYFUNCTION("""COMPUTED_VALUE"""),"Asia-Pacific")</f>
        <v>Asia-Pacific</v>
      </c>
      <c r="O851" s="5" t="str">
        <f>IFERROR(__xludf.DUMMYFUNCTION("""COMPUTED_VALUE"""),"developing")</f>
        <v>developing</v>
      </c>
      <c r="P851" s="5"/>
      <c r="Q851" s="5"/>
    </row>
    <row r="852">
      <c r="A852" s="5" t="str">
        <f>IFERROR(__xludf.DUMMYFUNCTION("""COMPUTED_VALUE"""),"Outbound")</f>
        <v>Outbound</v>
      </c>
      <c r="B852" s="5">
        <f>IFERROR(__xludf.DUMMYFUNCTION("""COMPUTED_VALUE"""),258.0)</f>
        <v>258</v>
      </c>
      <c r="C852" s="5" t="str">
        <f>IFERROR(__xludf.DUMMYFUNCTION("""COMPUTED_VALUE"""),"NEW VICTORY")</f>
        <v>NEW VICTORY</v>
      </c>
      <c r="D852" s="5">
        <f>IFERROR(__xludf.DUMMYFUNCTION("""COMPUTED_VALUE"""),9159050.0)</f>
        <v>9159050</v>
      </c>
      <c r="E852" s="5" t="str">
        <f>IFERROR(__xludf.DUMMYFUNCTION("""COMPUTED_VALUE"""),"Yuzhny/Pivdennyi")</f>
        <v>Yuzhny/Pivdennyi</v>
      </c>
      <c r="F852" s="5" t="str">
        <f>IFERROR(__xludf.DUMMYFUNCTION("""COMPUTED_VALUE"""),"Türkiye")</f>
        <v>Türkiye</v>
      </c>
      <c r="G852" s="5" t="str">
        <f>IFERROR(__xludf.DUMMYFUNCTION("""COMPUTED_VALUE"""),"Wheat")</f>
        <v>Wheat</v>
      </c>
      <c r="H852" s="6">
        <f>IFERROR(__xludf.DUMMYFUNCTION("""COMPUTED_VALUE"""),25500.0)</f>
        <v>25500</v>
      </c>
      <c r="I852" s="7">
        <f>IFERROR(__xludf.DUMMYFUNCTION("""COMPUTED_VALUE"""),44837.0)</f>
        <v>44837</v>
      </c>
      <c r="J852" s="7">
        <f>IFERROR(__xludf.DUMMYFUNCTION("""COMPUTED_VALUE"""),44859.0)</f>
        <v>44859</v>
      </c>
      <c r="K852" s="5" t="str">
        <f>IFERROR(__xludf.DUMMYFUNCTION("""COMPUTED_VALUE"""),"upper-middle-income")</f>
        <v>upper-middle-income</v>
      </c>
      <c r="L852" s="5" t="str">
        <f>IFERROR(__xludf.DUMMYFUNCTION("""COMPUTED_VALUE"""),"Belize")</f>
        <v>Belize</v>
      </c>
      <c r="M852" s="5" t="str">
        <f>IFERROR(__xludf.DUMMYFUNCTION("""COMPUTED_VALUE"""),"Europe &amp; Central Asia")</f>
        <v>Europe &amp; Central Asia</v>
      </c>
      <c r="N852" s="5" t="str">
        <f>IFERROR(__xludf.DUMMYFUNCTION("""COMPUTED_VALUE"""),"Asia-Pacific")</f>
        <v>Asia-Pacific</v>
      </c>
      <c r="O852" s="5" t="str">
        <f>IFERROR(__xludf.DUMMYFUNCTION("""COMPUTED_VALUE"""),"developing")</f>
        <v>developing</v>
      </c>
      <c r="P852" s="5"/>
      <c r="Q852" s="5"/>
    </row>
    <row r="853">
      <c r="A853" s="5" t="str">
        <f>IFERROR(__xludf.DUMMYFUNCTION("""COMPUTED_VALUE"""),"Outbound")</f>
        <v>Outbound</v>
      </c>
      <c r="B853" s="5">
        <f>IFERROR(__xludf.DUMMYFUNCTION("""COMPUTED_VALUE"""),257.0)</f>
        <v>257</v>
      </c>
      <c r="C853" s="5" t="str">
        <f>IFERROR(__xludf.DUMMYFUNCTION("""COMPUTED_VALUE"""),"NAVIN FALCON")</f>
        <v>NAVIN FALCON</v>
      </c>
      <c r="D853" s="5">
        <f>IFERROR(__xludf.DUMMYFUNCTION("""COMPUTED_VALUE"""),9492933.0)</f>
        <v>9492933</v>
      </c>
      <c r="E853" s="5" t="str">
        <f>IFERROR(__xludf.DUMMYFUNCTION("""COMPUTED_VALUE"""),"Yuzhny/Pivdennyi")</f>
        <v>Yuzhny/Pivdennyi</v>
      </c>
      <c r="F853" s="5" t="str">
        <f>IFERROR(__xludf.DUMMYFUNCTION("""COMPUTED_VALUE"""),"Italy")</f>
        <v>Italy</v>
      </c>
      <c r="G853" s="5" t="str">
        <f>IFERROR(__xludf.DUMMYFUNCTION("""COMPUTED_VALUE"""),"Wheat")</f>
        <v>Wheat</v>
      </c>
      <c r="H853" s="6">
        <f>IFERROR(__xludf.DUMMYFUNCTION("""COMPUTED_VALUE"""),6600.0)</f>
        <v>6600</v>
      </c>
      <c r="I853" s="7">
        <f>IFERROR(__xludf.DUMMYFUNCTION("""COMPUTED_VALUE"""),44837.0)</f>
        <v>44837</v>
      </c>
      <c r="J853" s="7">
        <f>IFERROR(__xludf.DUMMYFUNCTION("""COMPUTED_VALUE"""),44857.0)</f>
        <v>44857</v>
      </c>
      <c r="K853" s="5" t="str">
        <f>IFERROR(__xludf.DUMMYFUNCTION("""COMPUTED_VALUE"""),"high-income")</f>
        <v>high-income</v>
      </c>
      <c r="L853" s="5" t="str">
        <f>IFERROR(__xludf.DUMMYFUNCTION("""COMPUTED_VALUE"""),"Marshall Islands")</f>
        <v>Marshall Islands</v>
      </c>
      <c r="M853" s="5" t="str">
        <f>IFERROR(__xludf.DUMMYFUNCTION("""COMPUTED_VALUE"""),"Europe &amp; Central Asia")</f>
        <v>Europe &amp; Central Asia</v>
      </c>
      <c r="N853" s="5" t="str">
        <f>IFERROR(__xludf.DUMMYFUNCTION("""COMPUTED_VALUE"""),"Western Europe and Others")</f>
        <v>Western Europe and Others</v>
      </c>
      <c r="O853" s="5" t="str">
        <f>IFERROR(__xludf.DUMMYFUNCTION("""COMPUTED_VALUE"""),"developed")</f>
        <v>developed</v>
      </c>
      <c r="P853" s="5"/>
      <c r="Q853" s="5"/>
    </row>
    <row r="854">
      <c r="A854" s="5" t="str">
        <f>IFERROR(__xludf.DUMMYFUNCTION("""COMPUTED_VALUE"""),"Outbound")</f>
        <v>Outbound</v>
      </c>
      <c r="B854" s="5">
        <f>IFERROR(__xludf.DUMMYFUNCTION("""COMPUTED_VALUE"""),256.0)</f>
        <v>256</v>
      </c>
      <c r="C854" s="5" t="str">
        <f>IFERROR(__xludf.DUMMYFUNCTION("""COMPUTED_VALUE"""),"MICHALIS")</f>
        <v>MICHALIS</v>
      </c>
      <c r="D854" s="5">
        <f>IFERROR(__xludf.DUMMYFUNCTION("""COMPUTED_VALUE"""),9545510.0)</f>
        <v>9545510</v>
      </c>
      <c r="E854" s="5" t="str">
        <f>IFERROR(__xludf.DUMMYFUNCTION("""COMPUTED_VALUE"""),"Odesa")</f>
        <v>Odesa</v>
      </c>
      <c r="F854" s="5" t="str">
        <f>IFERROR(__xludf.DUMMYFUNCTION("""COMPUTED_VALUE"""),"Portugal")</f>
        <v>Portugal</v>
      </c>
      <c r="G854" s="5" t="str">
        <f>IFERROR(__xludf.DUMMYFUNCTION("""COMPUTED_VALUE"""),"Corn")</f>
        <v>Corn</v>
      </c>
      <c r="H854" s="6">
        <f>IFERROR(__xludf.DUMMYFUNCTION("""COMPUTED_VALUE"""),18716.0)</f>
        <v>18716</v>
      </c>
      <c r="I854" s="7">
        <f>IFERROR(__xludf.DUMMYFUNCTION("""COMPUTED_VALUE"""),44837.0)</f>
        <v>44837</v>
      </c>
      <c r="J854" s="7">
        <f>IFERROR(__xludf.DUMMYFUNCTION("""COMPUTED_VALUE"""),44853.0)</f>
        <v>44853</v>
      </c>
      <c r="K854" s="5" t="str">
        <f>IFERROR(__xludf.DUMMYFUNCTION("""COMPUTED_VALUE"""),"high-income")</f>
        <v>high-income</v>
      </c>
      <c r="L854" s="5" t="str">
        <f>IFERROR(__xludf.DUMMYFUNCTION("""COMPUTED_VALUE"""),"Marshall Islands")</f>
        <v>Marshall Islands</v>
      </c>
      <c r="M854" s="5" t="str">
        <f>IFERROR(__xludf.DUMMYFUNCTION("""COMPUTED_VALUE"""),"Europe &amp; Central Asia")</f>
        <v>Europe &amp; Central Asia</v>
      </c>
      <c r="N854" s="5" t="str">
        <f>IFERROR(__xludf.DUMMYFUNCTION("""COMPUTED_VALUE"""),"Western Europe and Others")</f>
        <v>Western Europe and Others</v>
      </c>
      <c r="O854" s="5" t="str">
        <f>IFERROR(__xludf.DUMMYFUNCTION("""COMPUTED_VALUE"""),"developed")</f>
        <v>developed</v>
      </c>
      <c r="P854" s="5"/>
      <c r="Q854" s="5"/>
    </row>
    <row r="855">
      <c r="A855" s="5" t="str">
        <f>IFERROR(__xludf.DUMMYFUNCTION("""COMPUTED_VALUE"""),"Outbound +")</f>
        <v>Outbound +</v>
      </c>
      <c r="B855" s="5">
        <f>IFERROR(__xludf.DUMMYFUNCTION("""COMPUTED_VALUE"""),256.0)</f>
        <v>256</v>
      </c>
      <c r="C855" s="5" t="str">
        <f>IFERROR(__xludf.DUMMYFUNCTION("""COMPUTED_VALUE"""),"MICHALIS")</f>
        <v>MICHALIS</v>
      </c>
      <c r="D855" s="5">
        <f>IFERROR(__xludf.DUMMYFUNCTION("""COMPUTED_VALUE"""),9545510.0)</f>
        <v>9545510</v>
      </c>
      <c r="E855" s="5" t="str">
        <f>IFERROR(__xludf.DUMMYFUNCTION("""COMPUTED_VALUE"""),"Odesa")</f>
        <v>Odesa</v>
      </c>
      <c r="F855" s="5" t="str">
        <f>IFERROR(__xludf.DUMMYFUNCTION("""COMPUTED_VALUE"""),"Portugal")</f>
        <v>Portugal</v>
      </c>
      <c r="G855" s="5" t="str">
        <f>IFERROR(__xludf.DUMMYFUNCTION("""COMPUTED_VALUE"""),"Wheat")</f>
        <v>Wheat</v>
      </c>
      <c r="H855" s="6">
        <f>IFERROR(__xludf.DUMMYFUNCTION("""COMPUTED_VALUE"""),7757.0)</f>
        <v>7757</v>
      </c>
      <c r="I855" s="7">
        <f>IFERROR(__xludf.DUMMYFUNCTION("""COMPUTED_VALUE"""),44837.0)</f>
        <v>44837</v>
      </c>
      <c r="J855" s="7">
        <f>IFERROR(__xludf.DUMMYFUNCTION("""COMPUTED_VALUE"""),44853.0)</f>
        <v>44853</v>
      </c>
      <c r="K855" s="5" t="str">
        <f>IFERROR(__xludf.DUMMYFUNCTION("""COMPUTED_VALUE"""),"high-income")</f>
        <v>high-income</v>
      </c>
      <c r="L855" s="5" t="str">
        <f>IFERROR(__xludf.DUMMYFUNCTION("""COMPUTED_VALUE"""),"Marshall Islands")</f>
        <v>Marshall Islands</v>
      </c>
      <c r="M855" s="5" t="str">
        <f>IFERROR(__xludf.DUMMYFUNCTION("""COMPUTED_VALUE"""),"Europe &amp; Central Asia")</f>
        <v>Europe &amp; Central Asia</v>
      </c>
      <c r="N855" s="5" t="str">
        <f>IFERROR(__xludf.DUMMYFUNCTION("""COMPUTED_VALUE"""),"Western Europe and Others")</f>
        <v>Western Europe and Others</v>
      </c>
      <c r="O855" s="5" t="str">
        <f>IFERROR(__xludf.DUMMYFUNCTION("""COMPUTED_VALUE"""),"developed")</f>
        <v>developed</v>
      </c>
      <c r="P855" s="5"/>
      <c r="Q855" s="5"/>
    </row>
    <row r="856">
      <c r="A856" s="5" t="str">
        <f>IFERROR(__xludf.DUMMYFUNCTION("""COMPUTED_VALUE"""),"Outbound +")</f>
        <v>Outbound +</v>
      </c>
      <c r="B856" s="5">
        <f>IFERROR(__xludf.DUMMYFUNCTION("""COMPUTED_VALUE"""),256.0)</f>
        <v>256</v>
      </c>
      <c r="C856" s="5" t="str">
        <f>IFERROR(__xludf.DUMMYFUNCTION("""COMPUTED_VALUE"""),"MICHALIS")</f>
        <v>MICHALIS</v>
      </c>
      <c r="D856" s="5">
        <f>IFERROR(__xludf.DUMMYFUNCTION("""COMPUTED_VALUE"""),9545510.0)</f>
        <v>9545510</v>
      </c>
      <c r="E856" s="5" t="str">
        <f>IFERROR(__xludf.DUMMYFUNCTION("""COMPUTED_VALUE"""),"Odesa")</f>
        <v>Odesa</v>
      </c>
      <c r="F856" s="5" t="str">
        <f>IFERROR(__xludf.DUMMYFUNCTION("""COMPUTED_VALUE"""),"Portugal")</f>
        <v>Portugal</v>
      </c>
      <c r="G856" s="5" t="str">
        <f>IFERROR(__xludf.DUMMYFUNCTION("""COMPUTED_VALUE"""),"Barley")</f>
        <v>Barley</v>
      </c>
      <c r="H856" s="6">
        <f>IFERROR(__xludf.DUMMYFUNCTION("""COMPUTED_VALUE"""),6834.0)</f>
        <v>6834</v>
      </c>
      <c r="I856" s="7">
        <f>IFERROR(__xludf.DUMMYFUNCTION("""COMPUTED_VALUE"""),44837.0)</f>
        <v>44837</v>
      </c>
      <c r="J856" s="7">
        <f>IFERROR(__xludf.DUMMYFUNCTION("""COMPUTED_VALUE"""),44853.0)</f>
        <v>44853</v>
      </c>
      <c r="K856" s="5" t="str">
        <f>IFERROR(__xludf.DUMMYFUNCTION("""COMPUTED_VALUE"""),"high-income")</f>
        <v>high-income</v>
      </c>
      <c r="L856" s="5" t="str">
        <f>IFERROR(__xludf.DUMMYFUNCTION("""COMPUTED_VALUE"""),"Marshall Islands")</f>
        <v>Marshall Islands</v>
      </c>
      <c r="M856" s="5" t="str">
        <f>IFERROR(__xludf.DUMMYFUNCTION("""COMPUTED_VALUE"""),"Europe &amp; Central Asia")</f>
        <v>Europe &amp; Central Asia</v>
      </c>
      <c r="N856" s="5" t="str">
        <f>IFERROR(__xludf.DUMMYFUNCTION("""COMPUTED_VALUE"""),"Western Europe and Others")</f>
        <v>Western Europe and Others</v>
      </c>
      <c r="O856" s="5" t="str">
        <f>IFERROR(__xludf.DUMMYFUNCTION("""COMPUTED_VALUE"""),"developed")</f>
        <v>developed</v>
      </c>
      <c r="P856" s="5"/>
      <c r="Q856" s="5"/>
    </row>
    <row r="857">
      <c r="A857" s="5" t="str">
        <f>IFERROR(__xludf.DUMMYFUNCTION("""COMPUTED_VALUE"""),"Outbound")</f>
        <v>Outbound</v>
      </c>
      <c r="B857" s="5">
        <f>IFERROR(__xludf.DUMMYFUNCTION("""COMPUTED_VALUE"""),255.0)</f>
        <v>255</v>
      </c>
      <c r="C857" s="5" t="str">
        <f>IFERROR(__xludf.DUMMYFUNCTION("""COMPUTED_VALUE"""),"KALLIOPI S")</f>
        <v>KALLIOPI S</v>
      </c>
      <c r="D857" s="5">
        <f>IFERROR(__xludf.DUMMYFUNCTION("""COMPUTED_VALUE"""),9450844.0)</f>
        <v>9450844</v>
      </c>
      <c r="E857" s="5" t="str">
        <f>IFERROR(__xludf.DUMMYFUNCTION("""COMPUTED_VALUE"""),"Yuzhny/Pivdennyi")</f>
        <v>Yuzhny/Pivdennyi</v>
      </c>
      <c r="F857" s="5" t="str">
        <f>IFERROR(__xludf.DUMMYFUNCTION("""COMPUTED_VALUE"""),"The Netherlands")</f>
        <v>The Netherlands</v>
      </c>
      <c r="G857" s="5" t="str">
        <f>IFERROR(__xludf.DUMMYFUNCTION("""COMPUTED_VALUE"""),"Corn")</f>
        <v>Corn</v>
      </c>
      <c r="H857" s="6">
        <f>IFERROR(__xludf.DUMMYFUNCTION("""COMPUTED_VALUE"""),33274.0)</f>
        <v>33274</v>
      </c>
      <c r="I857" s="7">
        <f>IFERROR(__xludf.DUMMYFUNCTION("""COMPUTED_VALUE"""),44837.0)</f>
        <v>44837</v>
      </c>
      <c r="J857" s="7">
        <f>IFERROR(__xludf.DUMMYFUNCTION("""COMPUTED_VALUE"""),44857.0)</f>
        <v>44857</v>
      </c>
      <c r="K857" s="5" t="str">
        <f>IFERROR(__xludf.DUMMYFUNCTION("""COMPUTED_VALUE"""),"high-income")</f>
        <v>high-income</v>
      </c>
      <c r="L857" s="5" t="str">
        <f>IFERROR(__xludf.DUMMYFUNCTION("""COMPUTED_VALUE"""),"Liberia")</f>
        <v>Liberia</v>
      </c>
      <c r="M857" s="5" t="str">
        <f>IFERROR(__xludf.DUMMYFUNCTION("""COMPUTED_VALUE"""),"Europe &amp; Central Asia")</f>
        <v>Europe &amp; Central Asia</v>
      </c>
      <c r="N857" s="5" t="str">
        <f>IFERROR(__xludf.DUMMYFUNCTION("""COMPUTED_VALUE"""),"Western Europe and Others")</f>
        <v>Western Europe and Others</v>
      </c>
      <c r="O857" s="5" t="str">
        <f>IFERROR(__xludf.DUMMYFUNCTION("""COMPUTED_VALUE"""),"developed")</f>
        <v>developed</v>
      </c>
      <c r="P857" s="5"/>
      <c r="Q857" s="5"/>
    </row>
    <row r="858">
      <c r="A858" s="5" t="str">
        <f>IFERROR(__xludf.DUMMYFUNCTION("""COMPUTED_VALUE"""),"Outbound")</f>
        <v>Outbound</v>
      </c>
      <c r="B858" s="5">
        <f>IFERROR(__xludf.DUMMYFUNCTION("""COMPUTED_VALUE"""),254.0)</f>
        <v>254</v>
      </c>
      <c r="C858" s="5" t="str">
        <f>IFERROR(__xludf.DUMMYFUNCTION("""COMPUTED_VALUE"""),"FPMC B 201")</f>
        <v>FPMC B 201</v>
      </c>
      <c r="D858" s="5">
        <f>IFERROR(__xludf.DUMMYFUNCTION("""COMPUTED_VALUE"""),9468229.0)</f>
        <v>9468229</v>
      </c>
      <c r="E858" s="5" t="str">
        <f>IFERROR(__xludf.DUMMYFUNCTION("""COMPUTED_VALUE"""),"Odesa")</f>
        <v>Odesa</v>
      </c>
      <c r="F858" s="5" t="str">
        <f>IFERROR(__xludf.DUMMYFUNCTION("""COMPUTED_VALUE"""),"Portugal")</f>
        <v>Portugal</v>
      </c>
      <c r="G858" s="5" t="str">
        <f>IFERROR(__xludf.DUMMYFUNCTION("""COMPUTED_VALUE"""),"Corn")</f>
        <v>Corn</v>
      </c>
      <c r="H858" s="6">
        <f>IFERROR(__xludf.DUMMYFUNCTION("""COMPUTED_VALUE"""),33000.0)</f>
        <v>33000</v>
      </c>
      <c r="I858" s="7">
        <f>IFERROR(__xludf.DUMMYFUNCTION("""COMPUTED_VALUE"""),44837.0)</f>
        <v>44837</v>
      </c>
      <c r="J858" s="7">
        <f>IFERROR(__xludf.DUMMYFUNCTION("""COMPUTED_VALUE"""),44852.0)</f>
        <v>44852</v>
      </c>
      <c r="K858" s="5" t="str">
        <f>IFERROR(__xludf.DUMMYFUNCTION("""COMPUTED_VALUE"""),"high-income")</f>
        <v>high-income</v>
      </c>
      <c r="L858" s="5" t="str">
        <f>IFERROR(__xludf.DUMMYFUNCTION("""COMPUTED_VALUE"""),"Liberia")</f>
        <v>Liberia</v>
      </c>
      <c r="M858" s="5" t="str">
        <f>IFERROR(__xludf.DUMMYFUNCTION("""COMPUTED_VALUE"""),"Europe &amp; Central Asia")</f>
        <v>Europe &amp; Central Asia</v>
      </c>
      <c r="N858" s="5" t="str">
        <f>IFERROR(__xludf.DUMMYFUNCTION("""COMPUTED_VALUE"""),"Western Europe and Others")</f>
        <v>Western Europe and Others</v>
      </c>
      <c r="O858" s="5" t="str">
        <f>IFERROR(__xludf.DUMMYFUNCTION("""COMPUTED_VALUE"""),"developed")</f>
        <v>developed</v>
      </c>
      <c r="P858" s="5"/>
      <c r="Q858" s="5"/>
    </row>
    <row r="859">
      <c r="A859" s="5" t="str">
        <f>IFERROR(__xludf.DUMMYFUNCTION("""COMPUTED_VALUE"""),"Outbound")</f>
        <v>Outbound</v>
      </c>
      <c r="B859" s="5">
        <f>IFERROR(__xludf.DUMMYFUNCTION("""COMPUTED_VALUE"""),253.0)</f>
        <v>253</v>
      </c>
      <c r="C859" s="5" t="str">
        <f>IFERROR(__xludf.DUMMYFUNCTION("""COMPUTED_VALUE"""),"SANN TRO")</f>
        <v>SANN TRO</v>
      </c>
      <c r="D859" s="5">
        <f>IFERROR(__xludf.DUMMYFUNCTION("""COMPUTED_VALUE"""),9110315.0)</f>
        <v>9110315</v>
      </c>
      <c r="E859" s="5" t="str">
        <f>IFERROR(__xludf.DUMMYFUNCTION("""COMPUTED_VALUE"""),"Odesa")</f>
        <v>Odesa</v>
      </c>
      <c r="F859" s="5" t="str">
        <f>IFERROR(__xludf.DUMMYFUNCTION("""COMPUTED_VALUE"""),"Spain")</f>
        <v>Spain</v>
      </c>
      <c r="G859" s="5" t="str">
        <f>IFERROR(__xludf.DUMMYFUNCTION("""COMPUTED_VALUE"""),"Wheat")</f>
        <v>Wheat</v>
      </c>
      <c r="H859" s="6">
        <f>IFERROR(__xludf.DUMMYFUNCTION("""COMPUTED_VALUE"""),26500.0)</f>
        <v>26500</v>
      </c>
      <c r="I859" s="7">
        <f>IFERROR(__xludf.DUMMYFUNCTION("""COMPUTED_VALUE"""),44836.0)</f>
        <v>44836</v>
      </c>
      <c r="J859" s="7">
        <f>IFERROR(__xludf.DUMMYFUNCTION("""COMPUTED_VALUE"""),44853.0)</f>
        <v>44853</v>
      </c>
      <c r="K859" s="5" t="str">
        <f>IFERROR(__xludf.DUMMYFUNCTION("""COMPUTED_VALUE"""),"high-income")</f>
        <v>high-income</v>
      </c>
      <c r="L859" s="5" t="str">
        <f>IFERROR(__xludf.DUMMYFUNCTION("""COMPUTED_VALUE"""),"St. Vincent and the Grenadines")</f>
        <v>St. Vincent and the Grenadines</v>
      </c>
      <c r="M859" s="5" t="str">
        <f>IFERROR(__xludf.DUMMYFUNCTION("""COMPUTED_VALUE"""),"Europe &amp; Central Asia")</f>
        <v>Europe &amp; Central Asia</v>
      </c>
      <c r="N859" s="5" t="str">
        <f>IFERROR(__xludf.DUMMYFUNCTION("""COMPUTED_VALUE"""),"Western Europe and Others")</f>
        <v>Western Europe and Others</v>
      </c>
      <c r="O859" s="5" t="str">
        <f>IFERROR(__xludf.DUMMYFUNCTION("""COMPUTED_VALUE"""),"developed")</f>
        <v>developed</v>
      </c>
      <c r="P859" s="5"/>
      <c r="Q859" s="5"/>
    </row>
    <row r="860">
      <c r="A860" s="5" t="str">
        <f>IFERROR(__xludf.DUMMYFUNCTION("""COMPUTED_VALUE"""),"Outbound")</f>
        <v>Outbound</v>
      </c>
      <c r="B860" s="5">
        <f>IFERROR(__xludf.DUMMYFUNCTION("""COMPUTED_VALUE"""),252.0)</f>
        <v>252</v>
      </c>
      <c r="C860" s="5" t="str">
        <f>IFERROR(__xludf.DUMMYFUNCTION("""COMPUTED_VALUE"""),"RIZABEY")</f>
        <v>RIZABEY</v>
      </c>
      <c r="D860" s="5">
        <f>IFERROR(__xludf.DUMMYFUNCTION("""COMPUTED_VALUE"""),9197117.0)</f>
        <v>9197117</v>
      </c>
      <c r="E860" s="5" t="str">
        <f>IFERROR(__xludf.DUMMYFUNCTION("""COMPUTED_VALUE"""),"Odesa")</f>
        <v>Odesa</v>
      </c>
      <c r="F860" s="5" t="str">
        <f>IFERROR(__xludf.DUMMYFUNCTION("""COMPUTED_VALUE"""),"Italy")</f>
        <v>Italy</v>
      </c>
      <c r="G860" s="5" t="str">
        <f>IFERROR(__xludf.DUMMYFUNCTION("""COMPUTED_VALUE"""),"Wheat")</f>
        <v>Wheat</v>
      </c>
      <c r="H860" s="6">
        <f>IFERROR(__xludf.DUMMYFUNCTION("""COMPUTED_VALUE"""),22923.0)</f>
        <v>22923</v>
      </c>
      <c r="I860" s="7">
        <f>IFERROR(__xludf.DUMMYFUNCTION("""COMPUTED_VALUE"""),44836.0)</f>
        <v>44836</v>
      </c>
      <c r="J860" s="7">
        <f>IFERROR(__xludf.DUMMYFUNCTION("""COMPUTED_VALUE"""),44852.0)</f>
        <v>44852</v>
      </c>
      <c r="K860" s="5" t="str">
        <f>IFERROR(__xludf.DUMMYFUNCTION("""COMPUTED_VALUE"""),"high-income")</f>
        <v>high-income</v>
      </c>
      <c r="L860" s="5" t="str">
        <f>IFERROR(__xludf.DUMMYFUNCTION("""COMPUTED_VALUE"""),"Panama")</f>
        <v>Panama</v>
      </c>
      <c r="M860" s="5" t="str">
        <f>IFERROR(__xludf.DUMMYFUNCTION("""COMPUTED_VALUE"""),"Europe &amp; Central Asia")</f>
        <v>Europe &amp; Central Asia</v>
      </c>
      <c r="N860" s="5" t="str">
        <f>IFERROR(__xludf.DUMMYFUNCTION("""COMPUTED_VALUE"""),"Western Europe and Others")</f>
        <v>Western Europe and Others</v>
      </c>
      <c r="O860" s="5" t="str">
        <f>IFERROR(__xludf.DUMMYFUNCTION("""COMPUTED_VALUE"""),"developed")</f>
        <v>developed</v>
      </c>
      <c r="P860" s="5"/>
      <c r="Q860" s="5"/>
    </row>
    <row r="861">
      <c r="A861" s="5" t="str">
        <f>IFERROR(__xludf.DUMMYFUNCTION("""COMPUTED_VALUE"""),"Outbound")</f>
        <v>Outbound</v>
      </c>
      <c r="B861" s="5">
        <f>IFERROR(__xludf.DUMMYFUNCTION("""COMPUTED_VALUE"""),251.0)</f>
        <v>251</v>
      </c>
      <c r="C861" s="5" t="str">
        <f>IFERROR(__xludf.DUMMYFUNCTION("""COMPUTED_VALUE"""),"LILA II")</f>
        <v>LILA II</v>
      </c>
      <c r="D861" s="5">
        <f>IFERROR(__xludf.DUMMYFUNCTION("""COMPUTED_VALUE"""),9498315.0)</f>
        <v>9498315</v>
      </c>
      <c r="E861" s="5" t="str">
        <f>IFERROR(__xludf.DUMMYFUNCTION("""COMPUTED_VALUE"""),"Chornomorsk")</f>
        <v>Chornomorsk</v>
      </c>
      <c r="F861" s="5" t="str">
        <f>IFERROR(__xludf.DUMMYFUNCTION("""COMPUTED_VALUE"""),"Spain")</f>
        <v>Spain</v>
      </c>
      <c r="G861" s="5" t="str">
        <f>IFERROR(__xludf.DUMMYFUNCTION("""COMPUTED_VALUE"""),"Corn")</f>
        <v>Corn</v>
      </c>
      <c r="H861" s="6">
        <f>IFERROR(__xludf.DUMMYFUNCTION("""COMPUTED_VALUE"""),32700.0)</f>
        <v>32700</v>
      </c>
      <c r="I861" s="7">
        <f>IFERROR(__xludf.DUMMYFUNCTION("""COMPUTED_VALUE"""),44836.0)</f>
        <v>44836</v>
      </c>
      <c r="J861" s="7">
        <f>IFERROR(__xludf.DUMMYFUNCTION("""COMPUTED_VALUE"""),44857.0)</f>
        <v>44857</v>
      </c>
      <c r="K861" s="5" t="str">
        <f>IFERROR(__xludf.DUMMYFUNCTION("""COMPUTED_VALUE"""),"high-income")</f>
        <v>high-income</v>
      </c>
      <c r="L861" s="5" t="str">
        <f>IFERROR(__xludf.DUMMYFUNCTION("""COMPUTED_VALUE"""),"Liberia")</f>
        <v>Liberia</v>
      </c>
      <c r="M861" s="5" t="str">
        <f>IFERROR(__xludf.DUMMYFUNCTION("""COMPUTED_VALUE"""),"Europe &amp; Central Asia")</f>
        <v>Europe &amp; Central Asia</v>
      </c>
      <c r="N861" s="5" t="str">
        <f>IFERROR(__xludf.DUMMYFUNCTION("""COMPUTED_VALUE"""),"Western Europe and Others")</f>
        <v>Western Europe and Others</v>
      </c>
      <c r="O861" s="5" t="str">
        <f>IFERROR(__xludf.DUMMYFUNCTION("""COMPUTED_VALUE"""),"developed")</f>
        <v>developed</v>
      </c>
      <c r="P861" s="5"/>
      <c r="Q861" s="5"/>
    </row>
    <row r="862">
      <c r="A862" s="5" t="str">
        <f>IFERROR(__xludf.DUMMYFUNCTION("""COMPUTED_VALUE"""),"Outbound")</f>
        <v>Outbound</v>
      </c>
      <c r="B862" s="5">
        <f>IFERROR(__xludf.DUMMYFUNCTION("""COMPUTED_VALUE"""),250.0)</f>
        <v>250</v>
      </c>
      <c r="C862" s="5" t="str">
        <f>IFERROR(__xludf.DUMMYFUNCTION("""COMPUTED_VALUE"""),"DOGA K")</f>
        <v>DOGA K</v>
      </c>
      <c r="D862" s="5">
        <f>IFERROR(__xludf.DUMMYFUNCTION("""COMPUTED_VALUE"""),9100530.0)</f>
        <v>9100530</v>
      </c>
      <c r="E862" s="5" t="str">
        <f>IFERROR(__xludf.DUMMYFUNCTION("""COMPUTED_VALUE"""),"Chornomorsk")</f>
        <v>Chornomorsk</v>
      </c>
      <c r="F862" s="5" t="str">
        <f>IFERROR(__xludf.DUMMYFUNCTION("""COMPUTED_VALUE"""),"Tunisia")</f>
        <v>Tunisia</v>
      </c>
      <c r="G862" s="5" t="str">
        <f>IFERROR(__xludf.DUMMYFUNCTION("""COMPUTED_VALUE"""),"Wheat")</f>
        <v>Wheat</v>
      </c>
      <c r="H862" s="6">
        <f>IFERROR(__xludf.DUMMYFUNCTION("""COMPUTED_VALUE"""),10000.0)</f>
        <v>10000</v>
      </c>
      <c r="I862" s="7">
        <f>IFERROR(__xludf.DUMMYFUNCTION("""COMPUTED_VALUE"""),44836.0)</f>
        <v>44836</v>
      </c>
      <c r="J862" s="7">
        <f>IFERROR(__xludf.DUMMYFUNCTION("""COMPUTED_VALUE"""),44851.0)</f>
        <v>44851</v>
      </c>
      <c r="K862" s="5" t="str">
        <f>IFERROR(__xludf.DUMMYFUNCTION("""COMPUTED_VALUE"""),"lower-middle income")</f>
        <v>lower-middle income</v>
      </c>
      <c r="L862" s="5" t="str">
        <f>IFERROR(__xludf.DUMMYFUNCTION("""COMPUTED_VALUE"""),"Comoros")</f>
        <v>Comoros</v>
      </c>
      <c r="M862" s="5" t="str">
        <f>IFERROR(__xludf.DUMMYFUNCTION("""COMPUTED_VALUE"""),"Middle East &amp; North Africa")</f>
        <v>Middle East &amp; North Africa</v>
      </c>
      <c r="N862" s="5" t="str">
        <f>IFERROR(__xludf.DUMMYFUNCTION("""COMPUTED_VALUE"""),"Africa")</f>
        <v>Africa</v>
      </c>
      <c r="O862" s="5" t="str">
        <f>IFERROR(__xludf.DUMMYFUNCTION("""COMPUTED_VALUE"""),"developing")</f>
        <v>developing</v>
      </c>
      <c r="P862" s="5"/>
      <c r="Q862" s="5"/>
    </row>
    <row r="863">
      <c r="A863" s="5" t="str">
        <f>IFERROR(__xludf.DUMMYFUNCTION("""COMPUTED_VALUE"""),"Outbound")</f>
        <v>Outbound</v>
      </c>
      <c r="B863" s="5">
        <f>IFERROR(__xludf.DUMMYFUNCTION("""COMPUTED_VALUE"""),249.0)</f>
        <v>249</v>
      </c>
      <c r="C863" s="5" t="str">
        <f>IFERROR(__xludf.DUMMYFUNCTION("""COMPUTED_VALUE"""),"BC RAEDA")</f>
        <v>BC RAEDA</v>
      </c>
      <c r="D863" s="5">
        <f>IFERROR(__xludf.DUMMYFUNCTION("""COMPUTED_VALUE"""),9487598.0)</f>
        <v>9487598</v>
      </c>
      <c r="E863" s="5" t="str">
        <f>IFERROR(__xludf.DUMMYFUNCTION("""COMPUTED_VALUE"""),"Yuzhny/Pivdennyi")</f>
        <v>Yuzhny/Pivdennyi</v>
      </c>
      <c r="F863" s="5" t="str">
        <f>IFERROR(__xludf.DUMMYFUNCTION("""COMPUTED_VALUE"""),"Spain")</f>
        <v>Spain</v>
      </c>
      <c r="G863" s="5" t="str">
        <f>IFERROR(__xludf.DUMMYFUNCTION("""COMPUTED_VALUE"""),"Wheat")</f>
        <v>Wheat</v>
      </c>
      <c r="H863" s="6">
        <f>IFERROR(__xludf.DUMMYFUNCTION("""COMPUTED_VALUE"""),24000.0)</f>
        <v>24000</v>
      </c>
      <c r="I863" s="7">
        <f>IFERROR(__xludf.DUMMYFUNCTION("""COMPUTED_VALUE"""),44836.0)</f>
        <v>44836</v>
      </c>
      <c r="J863" s="7">
        <f>IFERROR(__xludf.DUMMYFUNCTION("""COMPUTED_VALUE"""),44852.0)</f>
        <v>44852</v>
      </c>
      <c r="K863" s="5" t="str">
        <f>IFERROR(__xludf.DUMMYFUNCTION("""COMPUTED_VALUE"""),"high-income")</f>
        <v>high-income</v>
      </c>
      <c r="L863" s="5" t="str">
        <f>IFERROR(__xludf.DUMMYFUNCTION("""COMPUTED_VALUE"""),"Barbados")</f>
        <v>Barbados</v>
      </c>
      <c r="M863" s="5" t="str">
        <f>IFERROR(__xludf.DUMMYFUNCTION("""COMPUTED_VALUE"""),"Europe &amp; Central Asia")</f>
        <v>Europe &amp; Central Asia</v>
      </c>
      <c r="N863" s="5" t="str">
        <f>IFERROR(__xludf.DUMMYFUNCTION("""COMPUTED_VALUE"""),"Western Europe and Others")</f>
        <v>Western Europe and Others</v>
      </c>
      <c r="O863" s="5" t="str">
        <f>IFERROR(__xludf.DUMMYFUNCTION("""COMPUTED_VALUE"""),"developed")</f>
        <v>developed</v>
      </c>
      <c r="P863" s="5"/>
      <c r="Q863" s="5"/>
    </row>
    <row r="864">
      <c r="A864" s="5" t="str">
        <f>IFERROR(__xludf.DUMMYFUNCTION("""COMPUTED_VALUE"""),"Outbound")</f>
        <v>Outbound</v>
      </c>
      <c r="B864" s="5">
        <f>IFERROR(__xludf.DUMMYFUNCTION("""COMPUTED_VALUE"""),248.0)</f>
        <v>248</v>
      </c>
      <c r="C864" s="5" t="str">
        <f>IFERROR(__xludf.DUMMYFUNCTION("""COMPUTED_VALUE"""),"STELLINA")</f>
        <v>STELLINA</v>
      </c>
      <c r="D864" s="5">
        <f>IFERROR(__xludf.DUMMYFUNCTION("""COMPUTED_VALUE"""),9674933.0)</f>
        <v>9674933</v>
      </c>
      <c r="E864" s="5" t="str">
        <f>IFERROR(__xludf.DUMMYFUNCTION("""COMPUTED_VALUE"""),"Odesa")</f>
        <v>Odesa</v>
      </c>
      <c r="F864" s="5" t="str">
        <f>IFERROR(__xludf.DUMMYFUNCTION("""COMPUTED_VALUE"""),"Spain")</f>
        <v>Spain</v>
      </c>
      <c r="G864" s="5" t="str">
        <f>IFERROR(__xludf.DUMMYFUNCTION("""COMPUTED_VALUE"""),"Wheat")</f>
        <v>Wheat</v>
      </c>
      <c r="H864" s="6">
        <f>IFERROR(__xludf.DUMMYFUNCTION("""COMPUTED_VALUE"""),25000.0)</f>
        <v>25000</v>
      </c>
      <c r="I864" s="7">
        <f>IFERROR(__xludf.DUMMYFUNCTION("""COMPUTED_VALUE"""),44835.0)</f>
        <v>44835</v>
      </c>
      <c r="J864" s="7">
        <f>IFERROR(__xludf.DUMMYFUNCTION("""COMPUTED_VALUE"""),44850.0)</f>
        <v>44850</v>
      </c>
      <c r="K864" s="5" t="str">
        <f>IFERROR(__xludf.DUMMYFUNCTION("""COMPUTED_VALUE"""),"high-income")</f>
        <v>high-income</v>
      </c>
      <c r="L864" s="5" t="str">
        <f>IFERROR(__xludf.DUMMYFUNCTION("""COMPUTED_VALUE"""),"Liberia")</f>
        <v>Liberia</v>
      </c>
      <c r="M864" s="5" t="str">
        <f>IFERROR(__xludf.DUMMYFUNCTION("""COMPUTED_VALUE"""),"Europe &amp; Central Asia")</f>
        <v>Europe &amp; Central Asia</v>
      </c>
      <c r="N864" s="5" t="str">
        <f>IFERROR(__xludf.DUMMYFUNCTION("""COMPUTED_VALUE"""),"Western Europe and Others")</f>
        <v>Western Europe and Others</v>
      </c>
      <c r="O864" s="5" t="str">
        <f>IFERROR(__xludf.DUMMYFUNCTION("""COMPUTED_VALUE"""),"developed")</f>
        <v>developed</v>
      </c>
      <c r="P864" s="5"/>
      <c r="Q864" s="5"/>
    </row>
    <row r="865">
      <c r="A865" s="5" t="str">
        <f>IFERROR(__xludf.DUMMYFUNCTION("""COMPUTED_VALUE"""),"Outbound")</f>
        <v>Outbound</v>
      </c>
      <c r="B865" s="5">
        <f>IFERROR(__xludf.DUMMYFUNCTION("""COMPUTED_VALUE"""),247.0)</f>
        <v>247</v>
      </c>
      <c r="C865" s="5" t="str">
        <f>IFERROR(__xludf.DUMMYFUNCTION("""COMPUTED_VALUE"""),"QUEEN LILA")</f>
        <v>QUEEN LILA</v>
      </c>
      <c r="D865" s="5">
        <f>IFERROR(__xludf.DUMMYFUNCTION("""COMPUTED_VALUE"""),9303376.0)</f>
        <v>9303376</v>
      </c>
      <c r="E865" s="5" t="str">
        <f>IFERROR(__xludf.DUMMYFUNCTION("""COMPUTED_VALUE"""),"Odesa")</f>
        <v>Odesa</v>
      </c>
      <c r="F865" s="5" t="str">
        <f>IFERROR(__xludf.DUMMYFUNCTION("""COMPUTED_VALUE"""),"Libya")</f>
        <v>Libya</v>
      </c>
      <c r="G865" s="5" t="str">
        <f>IFERROR(__xludf.DUMMYFUNCTION("""COMPUTED_VALUE"""),"Barley")</f>
        <v>Barley</v>
      </c>
      <c r="H865" s="6">
        <f>IFERROR(__xludf.DUMMYFUNCTION("""COMPUTED_VALUE"""),29000.0)</f>
        <v>29000</v>
      </c>
      <c r="I865" s="7">
        <f>IFERROR(__xludf.DUMMYFUNCTION("""COMPUTED_VALUE"""),44835.0)</f>
        <v>44835</v>
      </c>
      <c r="J865" s="7">
        <f>IFERROR(__xludf.DUMMYFUNCTION("""COMPUTED_VALUE"""),44858.0)</f>
        <v>44858</v>
      </c>
      <c r="K865" s="5" t="str">
        <f>IFERROR(__xludf.DUMMYFUNCTION("""COMPUTED_VALUE"""),"upper-middle-income")</f>
        <v>upper-middle-income</v>
      </c>
      <c r="L865" s="5" t="str">
        <f>IFERROR(__xludf.DUMMYFUNCTION("""COMPUTED_VALUE"""),"Belize")</f>
        <v>Belize</v>
      </c>
      <c r="M865" s="5" t="str">
        <f>IFERROR(__xludf.DUMMYFUNCTION("""COMPUTED_VALUE"""),"Middle East &amp; North Africa")</f>
        <v>Middle East &amp; North Africa</v>
      </c>
      <c r="N865" s="5" t="str">
        <f>IFERROR(__xludf.DUMMYFUNCTION("""COMPUTED_VALUE"""),"Africa")</f>
        <v>Africa</v>
      </c>
      <c r="O865" s="5" t="str">
        <f>IFERROR(__xludf.DUMMYFUNCTION("""COMPUTED_VALUE"""),"developing")</f>
        <v>developing</v>
      </c>
      <c r="P865" s="5"/>
      <c r="Q865" s="5"/>
    </row>
    <row r="866">
      <c r="A866" s="5" t="str">
        <f>IFERROR(__xludf.DUMMYFUNCTION("""COMPUTED_VALUE"""),"Outbound")</f>
        <v>Outbound</v>
      </c>
      <c r="B866" s="5">
        <f>IFERROR(__xludf.DUMMYFUNCTION("""COMPUTED_VALUE"""),246.0)</f>
        <v>246</v>
      </c>
      <c r="C866" s="5" t="str">
        <f>IFERROR(__xludf.DUMMYFUNCTION("""COMPUTED_VALUE"""),"PS DREAM")</f>
        <v>PS DREAM</v>
      </c>
      <c r="D866" s="5">
        <f>IFERROR(__xludf.DUMMYFUNCTION("""COMPUTED_VALUE"""),9358307.0)</f>
        <v>9358307</v>
      </c>
      <c r="E866" s="5" t="str">
        <f>IFERROR(__xludf.DUMMYFUNCTION("""COMPUTED_VALUE"""),"Chornomorsk")</f>
        <v>Chornomorsk</v>
      </c>
      <c r="F866" s="5" t="str">
        <f>IFERROR(__xludf.DUMMYFUNCTION("""COMPUTED_VALUE"""),"India")</f>
        <v>India</v>
      </c>
      <c r="G866" s="5" t="str">
        <f>IFERROR(__xludf.DUMMYFUNCTION("""COMPUTED_VALUE"""),"Sunflower oil")</f>
        <v>Sunflower oil</v>
      </c>
      <c r="H866" s="6">
        <f>IFERROR(__xludf.DUMMYFUNCTION("""COMPUTED_VALUE"""),25000.0)</f>
        <v>25000</v>
      </c>
      <c r="I866" s="7">
        <f>IFERROR(__xludf.DUMMYFUNCTION("""COMPUTED_VALUE"""),44835.0)</f>
        <v>44835</v>
      </c>
      <c r="J866" s="7">
        <f>IFERROR(__xludf.DUMMYFUNCTION("""COMPUTED_VALUE"""),44849.0)</f>
        <v>44849</v>
      </c>
      <c r="K866" s="5" t="str">
        <f>IFERROR(__xludf.DUMMYFUNCTION("""COMPUTED_VALUE"""),"lower-middle income")</f>
        <v>lower-middle income</v>
      </c>
      <c r="L866" s="5" t="str">
        <f>IFERROR(__xludf.DUMMYFUNCTION("""COMPUTED_VALUE"""),"Panama")</f>
        <v>Panama</v>
      </c>
      <c r="M866" s="5" t="str">
        <f>IFERROR(__xludf.DUMMYFUNCTION("""COMPUTED_VALUE"""),"South Asia")</f>
        <v>South Asia</v>
      </c>
      <c r="N866" s="5" t="str">
        <f>IFERROR(__xludf.DUMMYFUNCTION("""COMPUTED_VALUE"""),"Asia-Pacific")</f>
        <v>Asia-Pacific</v>
      </c>
      <c r="O866" s="5" t="str">
        <f>IFERROR(__xludf.DUMMYFUNCTION("""COMPUTED_VALUE"""),"developing")</f>
        <v>developing</v>
      </c>
      <c r="P866" s="5"/>
      <c r="Q866" s="5"/>
    </row>
    <row r="867">
      <c r="A867" s="5" t="str">
        <f>IFERROR(__xludf.DUMMYFUNCTION("""COMPUTED_VALUE"""),"Outbound")</f>
        <v>Outbound</v>
      </c>
      <c r="B867" s="5">
        <f>IFERROR(__xludf.DUMMYFUNCTION("""COMPUTED_VALUE"""),245.0)</f>
        <v>245</v>
      </c>
      <c r="C867" s="5" t="str">
        <f>IFERROR(__xludf.DUMMYFUNCTION("""COMPUTED_VALUE"""),"LADY DIVINA")</f>
        <v>LADY DIVINA</v>
      </c>
      <c r="D867" s="5">
        <f>IFERROR(__xludf.DUMMYFUNCTION("""COMPUTED_VALUE"""),9354052.0)</f>
        <v>9354052</v>
      </c>
      <c r="E867" s="5" t="str">
        <f>IFERROR(__xludf.DUMMYFUNCTION("""COMPUTED_VALUE"""),"Yuzhny/Pivdennyi")</f>
        <v>Yuzhny/Pivdennyi</v>
      </c>
      <c r="F867" s="5" t="str">
        <f>IFERROR(__xludf.DUMMYFUNCTION("""COMPUTED_VALUE"""),"France")</f>
        <v>France</v>
      </c>
      <c r="G867" s="5" t="str">
        <f>IFERROR(__xludf.DUMMYFUNCTION("""COMPUTED_VALUE"""),"Sunflower meal")</f>
        <v>Sunflower meal</v>
      </c>
      <c r="H867" s="6">
        <f>IFERROR(__xludf.DUMMYFUNCTION("""COMPUTED_VALUE"""),13200.0)</f>
        <v>13200</v>
      </c>
      <c r="I867" s="7">
        <f>IFERROR(__xludf.DUMMYFUNCTION("""COMPUTED_VALUE"""),44835.0)</f>
        <v>44835</v>
      </c>
      <c r="J867" s="7">
        <f>IFERROR(__xludf.DUMMYFUNCTION("""COMPUTED_VALUE"""),44852.0)</f>
        <v>44852</v>
      </c>
      <c r="K867" s="5" t="str">
        <f>IFERROR(__xludf.DUMMYFUNCTION("""COMPUTED_VALUE"""),"high-income")</f>
        <v>high-income</v>
      </c>
      <c r="L867" s="5" t="str">
        <f>IFERROR(__xludf.DUMMYFUNCTION("""COMPUTED_VALUE"""),"Barbados")</f>
        <v>Barbados</v>
      </c>
      <c r="M867" s="5" t="str">
        <f>IFERROR(__xludf.DUMMYFUNCTION("""COMPUTED_VALUE"""),"Europe &amp; Central Asia")</f>
        <v>Europe &amp; Central Asia</v>
      </c>
      <c r="N867" s="5" t="str">
        <f>IFERROR(__xludf.DUMMYFUNCTION("""COMPUTED_VALUE"""),"Western Europe and Others")</f>
        <v>Western Europe and Others</v>
      </c>
      <c r="O867" s="5" t="str">
        <f>IFERROR(__xludf.DUMMYFUNCTION("""COMPUTED_VALUE"""),"developed")</f>
        <v>developed</v>
      </c>
      <c r="P867" s="5"/>
      <c r="Q867" s="5"/>
    </row>
    <row r="868">
      <c r="A868" s="5" t="str">
        <f>IFERROR(__xludf.DUMMYFUNCTION("""COMPUTED_VALUE"""),"Outbound")</f>
        <v>Outbound</v>
      </c>
      <c r="B868" s="5">
        <f>IFERROR(__xludf.DUMMYFUNCTION("""COMPUTED_VALUE"""),244.0)</f>
        <v>244</v>
      </c>
      <c r="C868" s="5" t="str">
        <f>IFERROR(__xludf.DUMMYFUNCTION("""COMPUTED_VALUE"""),"IASOS")</f>
        <v>IASOS</v>
      </c>
      <c r="D868" s="5">
        <f>IFERROR(__xludf.DUMMYFUNCTION("""COMPUTED_VALUE"""),9233882.0)</f>
        <v>9233882</v>
      </c>
      <c r="E868" s="5" t="str">
        <f>IFERROR(__xludf.DUMMYFUNCTION("""COMPUTED_VALUE"""),"Yuzhny/Pivdennyi")</f>
        <v>Yuzhny/Pivdennyi</v>
      </c>
      <c r="F868" s="5" t="str">
        <f>IFERROR(__xludf.DUMMYFUNCTION("""COMPUTED_VALUE"""),"Spain")</f>
        <v>Spain</v>
      </c>
      <c r="G868" s="5" t="str">
        <f>IFERROR(__xludf.DUMMYFUNCTION("""COMPUTED_VALUE"""),"Wheat")</f>
        <v>Wheat</v>
      </c>
      <c r="H868" s="6">
        <f>IFERROR(__xludf.DUMMYFUNCTION("""COMPUTED_VALUE"""),50800.0)</f>
        <v>50800</v>
      </c>
      <c r="I868" s="7">
        <f>IFERROR(__xludf.DUMMYFUNCTION("""COMPUTED_VALUE"""),44835.0)</f>
        <v>44835</v>
      </c>
      <c r="J868" s="7">
        <f>IFERROR(__xludf.DUMMYFUNCTION("""COMPUTED_VALUE"""),44853.0)</f>
        <v>44853</v>
      </c>
      <c r="K868" s="5" t="str">
        <f>IFERROR(__xludf.DUMMYFUNCTION("""COMPUTED_VALUE"""),"high-income")</f>
        <v>high-income</v>
      </c>
      <c r="L868" s="5" t="str">
        <f>IFERROR(__xludf.DUMMYFUNCTION("""COMPUTED_VALUE"""),"Türkiye")</f>
        <v>Türkiye</v>
      </c>
      <c r="M868" s="5" t="str">
        <f>IFERROR(__xludf.DUMMYFUNCTION("""COMPUTED_VALUE"""),"Europe &amp; Central Asia")</f>
        <v>Europe &amp; Central Asia</v>
      </c>
      <c r="N868" s="5" t="str">
        <f>IFERROR(__xludf.DUMMYFUNCTION("""COMPUTED_VALUE"""),"Western Europe and Others")</f>
        <v>Western Europe and Others</v>
      </c>
      <c r="O868" s="5" t="str">
        <f>IFERROR(__xludf.DUMMYFUNCTION("""COMPUTED_VALUE"""),"developed")</f>
        <v>developed</v>
      </c>
      <c r="P868" s="5"/>
      <c r="Q868" s="5"/>
    </row>
    <row r="869">
      <c r="A869" s="5" t="str">
        <f>IFERROR(__xludf.DUMMYFUNCTION("""COMPUTED_VALUE"""),"Outbound")</f>
        <v>Outbound</v>
      </c>
      <c r="B869" s="5">
        <f>IFERROR(__xludf.DUMMYFUNCTION("""COMPUTED_VALUE"""),243.0)</f>
        <v>243</v>
      </c>
      <c r="C869" s="5" t="str">
        <f>IFERROR(__xludf.DUMMYFUNCTION("""COMPUTED_VALUE"""),"FORTUNE EXPRESS")</f>
        <v>FORTUNE EXPRESS</v>
      </c>
      <c r="D869" s="5">
        <f>IFERROR(__xludf.DUMMYFUNCTION("""COMPUTED_VALUE"""),9181728.0)</f>
        <v>9181728</v>
      </c>
      <c r="E869" s="5" t="str">
        <f>IFERROR(__xludf.DUMMYFUNCTION("""COMPUTED_VALUE"""),"Chornomorsk")</f>
        <v>Chornomorsk</v>
      </c>
      <c r="F869" s="5" t="str">
        <f>IFERROR(__xludf.DUMMYFUNCTION("""COMPUTED_VALUE"""),"Italy")</f>
        <v>Italy</v>
      </c>
      <c r="G869" s="5" t="str">
        <f>IFERROR(__xludf.DUMMYFUNCTION("""COMPUTED_VALUE"""),"Corn")</f>
        <v>Corn</v>
      </c>
      <c r="H869" s="6">
        <f>IFERROR(__xludf.DUMMYFUNCTION("""COMPUTED_VALUE"""),27500.0)</f>
        <v>27500</v>
      </c>
      <c r="I869" s="7">
        <f>IFERROR(__xludf.DUMMYFUNCTION("""COMPUTED_VALUE"""),44835.0)</f>
        <v>44835</v>
      </c>
      <c r="J869" s="7">
        <f>IFERROR(__xludf.DUMMYFUNCTION("""COMPUTED_VALUE"""),44852.0)</f>
        <v>44852</v>
      </c>
      <c r="K869" s="5" t="str">
        <f>IFERROR(__xludf.DUMMYFUNCTION("""COMPUTED_VALUE"""),"high-income")</f>
        <v>high-income</v>
      </c>
      <c r="L869" s="5" t="str">
        <f>IFERROR(__xludf.DUMMYFUNCTION("""COMPUTED_VALUE"""),"Türkiye")</f>
        <v>Türkiye</v>
      </c>
      <c r="M869" s="5" t="str">
        <f>IFERROR(__xludf.DUMMYFUNCTION("""COMPUTED_VALUE"""),"Europe &amp; Central Asia")</f>
        <v>Europe &amp; Central Asia</v>
      </c>
      <c r="N869" s="5" t="str">
        <f>IFERROR(__xludf.DUMMYFUNCTION("""COMPUTED_VALUE"""),"Western Europe and Others")</f>
        <v>Western Europe and Others</v>
      </c>
      <c r="O869" s="5" t="str">
        <f>IFERROR(__xludf.DUMMYFUNCTION("""COMPUTED_VALUE"""),"developed")</f>
        <v>developed</v>
      </c>
      <c r="P869" s="5"/>
      <c r="Q869" s="5"/>
    </row>
    <row r="870">
      <c r="A870" s="5" t="str">
        <f>IFERROR(__xludf.DUMMYFUNCTION("""COMPUTED_VALUE"""),"Outbound")</f>
        <v>Outbound</v>
      </c>
      <c r="B870" s="5">
        <f>IFERROR(__xludf.DUMMYFUNCTION("""COMPUTED_VALUE"""),242.0)</f>
        <v>242</v>
      </c>
      <c r="C870" s="5" t="str">
        <f>IFERROR(__xludf.DUMMYFUNCTION("""COMPUTED_VALUE"""),"AHMET CAN")</f>
        <v>AHMET CAN</v>
      </c>
      <c r="D870" s="5">
        <f>IFERROR(__xludf.DUMMYFUNCTION("""COMPUTED_VALUE"""),9368182.0)</f>
        <v>9368182</v>
      </c>
      <c r="E870" s="5" t="str">
        <f>IFERROR(__xludf.DUMMYFUNCTION("""COMPUTED_VALUE"""),"Yuzhny/Pivdennyi")</f>
        <v>Yuzhny/Pivdennyi</v>
      </c>
      <c r="F870" s="5" t="str">
        <f>IFERROR(__xludf.DUMMYFUNCTION("""COMPUTED_VALUE"""),"Greece")</f>
        <v>Greece</v>
      </c>
      <c r="G870" s="5" t="str">
        <f>IFERROR(__xludf.DUMMYFUNCTION("""COMPUTED_VALUE"""),"Wheat")</f>
        <v>Wheat</v>
      </c>
      <c r="H870" s="6">
        <f>IFERROR(__xludf.DUMMYFUNCTION("""COMPUTED_VALUE"""),3200.0)</f>
        <v>3200</v>
      </c>
      <c r="I870" s="7">
        <f>IFERROR(__xludf.DUMMYFUNCTION("""COMPUTED_VALUE"""),44835.0)</f>
        <v>44835</v>
      </c>
      <c r="J870" s="7">
        <f>IFERROR(__xludf.DUMMYFUNCTION("""COMPUTED_VALUE"""),44854.0)</f>
        <v>44854</v>
      </c>
      <c r="K870" s="5" t="str">
        <f>IFERROR(__xludf.DUMMYFUNCTION("""COMPUTED_VALUE"""),"high-income")</f>
        <v>high-income</v>
      </c>
      <c r="L870" s="5" t="str">
        <f>IFERROR(__xludf.DUMMYFUNCTION("""COMPUTED_VALUE"""),"Panama")</f>
        <v>Panama</v>
      </c>
      <c r="M870" s="5" t="str">
        <f>IFERROR(__xludf.DUMMYFUNCTION("""COMPUTED_VALUE"""),"Europe &amp; Central Asia")</f>
        <v>Europe &amp; Central Asia</v>
      </c>
      <c r="N870" s="5" t="str">
        <f>IFERROR(__xludf.DUMMYFUNCTION("""COMPUTED_VALUE"""),"Western Europe and Others")</f>
        <v>Western Europe and Others</v>
      </c>
      <c r="O870" s="5" t="str">
        <f>IFERROR(__xludf.DUMMYFUNCTION("""COMPUTED_VALUE"""),"developed")</f>
        <v>developed</v>
      </c>
      <c r="P870" s="5"/>
      <c r="Q870" s="5"/>
    </row>
    <row r="871">
      <c r="A871" s="5" t="str">
        <f>IFERROR(__xludf.DUMMYFUNCTION("""COMPUTED_VALUE"""),"Outbound")</f>
        <v>Outbound</v>
      </c>
      <c r="B871" s="5">
        <f>IFERROR(__xludf.DUMMYFUNCTION("""COMPUTED_VALUE"""),241.0)</f>
        <v>241</v>
      </c>
      <c r="C871" s="5" t="str">
        <f>IFERROR(__xludf.DUMMYFUNCTION("""COMPUTED_VALUE"""),"ELEANORA")</f>
        <v>ELEANORA</v>
      </c>
      <c r="D871" s="5">
        <f>IFERROR(__xludf.DUMMYFUNCTION("""COMPUTED_VALUE"""),9211107.0)</f>
        <v>9211107</v>
      </c>
      <c r="E871" s="5" t="str">
        <f>IFERROR(__xludf.DUMMYFUNCTION("""COMPUTED_VALUE"""),"Yuzhny/Pivdennyi")</f>
        <v>Yuzhny/Pivdennyi</v>
      </c>
      <c r="F871" s="5" t="str">
        <f>IFERROR(__xludf.DUMMYFUNCTION("""COMPUTED_VALUE"""),"Italy")</f>
        <v>Italy</v>
      </c>
      <c r="G871" s="5" t="str">
        <f>IFERROR(__xludf.DUMMYFUNCTION("""COMPUTED_VALUE"""),"Corn")</f>
        <v>Corn</v>
      </c>
      <c r="H871" s="6">
        <f>IFERROR(__xludf.DUMMYFUNCTION("""COMPUTED_VALUE"""),6300.0)</f>
        <v>6300</v>
      </c>
      <c r="I871" s="7">
        <f>IFERROR(__xludf.DUMMYFUNCTION("""COMPUTED_VALUE"""),44834.0)</f>
        <v>44834</v>
      </c>
      <c r="J871" s="7">
        <f>IFERROR(__xludf.DUMMYFUNCTION("""COMPUTED_VALUE"""),44851.0)</f>
        <v>44851</v>
      </c>
      <c r="K871" s="5" t="str">
        <f>IFERROR(__xludf.DUMMYFUNCTION("""COMPUTED_VALUE"""),"high-income")</f>
        <v>high-income</v>
      </c>
      <c r="L871" s="5" t="str">
        <f>IFERROR(__xludf.DUMMYFUNCTION("""COMPUTED_VALUE"""),"Panama")</f>
        <v>Panama</v>
      </c>
      <c r="M871" s="5" t="str">
        <f>IFERROR(__xludf.DUMMYFUNCTION("""COMPUTED_VALUE"""),"Europe &amp; Central Asia")</f>
        <v>Europe &amp; Central Asia</v>
      </c>
      <c r="N871" s="5" t="str">
        <f>IFERROR(__xludf.DUMMYFUNCTION("""COMPUTED_VALUE"""),"Western Europe and Others")</f>
        <v>Western Europe and Others</v>
      </c>
      <c r="O871" s="5" t="str">
        <f>IFERROR(__xludf.DUMMYFUNCTION("""COMPUTED_VALUE"""),"developed")</f>
        <v>developed</v>
      </c>
      <c r="P871" s="5"/>
      <c r="Q871" s="5"/>
    </row>
    <row r="872">
      <c r="A872" s="5" t="str">
        <f>IFERROR(__xludf.DUMMYFUNCTION("""COMPUTED_VALUE"""),"Outbound")</f>
        <v>Outbound</v>
      </c>
      <c r="B872" s="5">
        <f>IFERROR(__xludf.DUMMYFUNCTION("""COMPUTED_VALUE"""),240.0)</f>
        <v>240</v>
      </c>
      <c r="C872" s="5" t="str">
        <f>IFERROR(__xludf.DUMMYFUNCTION("""COMPUTED_VALUE"""),"BLUE ONE")</f>
        <v>BLUE ONE</v>
      </c>
      <c r="D872" s="5">
        <f>IFERROR(__xludf.DUMMYFUNCTION("""COMPUTED_VALUE"""),9585651.0)</f>
        <v>9585651</v>
      </c>
      <c r="E872" s="5" t="str">
        <f>IFERROR(__xludf.DUMMYFUNCTION("""COMPUTED_VALUE"""),"Chornomorsk")</f>
        <v>Chornomorsk</v>
      </c>
      <c r="F872" s="5" t="str">
        <f>IFERROR(__xludf.DUMMYFUNCTION("""COMPUTED_VALUE"""),"Italy")</f>
        <v>Italy</v>
      </c>
      <c r="G872" s="5" t="str">
        <f>IFERROR(__xludf.DUMMYFUNCTION("""COMPUTED_VALUE"""),"Corn")</f>
        <v>Corn</v>
      </c>
      <c r="H872" s="6">
        <f>IFERROR(__xludf.DUMMYFUNCTION("""COMPUTED_VALUE"""),32300.0)</f>
        <v>32300</v>
      </c>
      <c r="I872" s="7">
        <f>IFERROR(__xludf.DUMMYFUNCTION("""COMPUTED_VALUE"""),44834.0)</f>
        <v>44834</v>
      </c>
      <c r="J872" s="7">
        <f>IFERROR(__xludf.DUMMYFUNCTION("""COMPUTED_VALUE"""),44857.0)</f>
        <v>44857</v>
      </c>
      <c r="K872" s="5" t="str">
        <f>IFERROR(__xludf.DUMMYFUNCTION("""COMPUTED_VALUE"""),"high-income")</f>
        <v>high-income</v>
      </c>
      <c r="L872" s="5" t="str">
        <f>IFERROR(__xludf.DUMMYFUNCTION("""COMPUTED_VALUE"""),"Liberia")</f>
        <v>Liberia</v>
      </c>
      <c r="M872" s="5" t="str">
        <f>IFERROR(__xludf.DUMMYFUNCTION("""COMPUTED_VALUE"""),"Europe &amp; Central Asia")</f>
        <v>Europe &amp; Central Asia</v>
      </c>
      <c r="N872" s="5" t="str">
        <f>IFERROR(__xludf.DUMMYFUNCTION("""COMPUTED_VALUE"""),"Western Europe and Others")</f>
        <v>Western Europe and Others</v>
      </c>
      <c r="O872" s="5" t="str">
        <f>IFERROR(__xludf.DUMMYFUNCTION("""COMPUTED_VALUE"""),"developed")</f>
        <v>developed</v>
      </c>
      <c r="P872" s="5"/>
      <c r="Q872" s="5"/>
    </row>
    <row r="873">
      <c r="A873" s="5" t="str">
        <f>IFERROR(__xludf.DUMMYFUNCTION("""COMPUTED_VALUE"""),"Outbound")</f>
        <v>Outbound</v>
      </c>
      <c r="B873" s="5">
        <f>IFERROR(__xludf.DUMMYFUNCTION("""COMPUTED_VALUE"""),239.0)</f>
        <v>239</v>
      </c>
      <c r="C873" s="5" t="str">
        <f>IFERROR(__xludf.DUMMYFUNCTION("""COMPUTED_VALUE"""),"BESIKTAS ICELAND")</f>
        <v>BESIKTAS ICELAND</v>
      </c>
      <c r="D873" s="5">
        <f>IFERROR(__xludf.DUMMYFUNCTION("""COMPUTED_VALUE"""),9395367.0)</f>
        <v>9395367</v>
      </c>
      <c r="E873" s="5" t="str">
        <f>IFERROR(__xludf.DUMMYFUNCTION("""COMPUTED_VALUE"""),"Odesa")</f>
        <v>Odesa</v>
      </c>
      <c r="F873" s="5" t="str">
        <f>IFERROR(__xludf.DUMMYFUNCTION("""COMPUTED_VALUE"""),"Türkiye")</f>
        <v>Türkiye</v>
      </c>
      <c r="G873" s="5" t="str">
        <f>IFERROR(__xludf.DUMMYFUNCTION("""COMPUTED_VALUE"""),"Sunflower oil")</f>
        <v>Sunflower oil</v>
      </c>
      <c r="H873" s="6">
        <f>IFERROR(__xludf.DUMMYFUNCTION("""COMPUTED_VALUE"""),6600.0)</f>
        <v>6600</v>
      </c>
      <c r="I873" s="7">
        <f>IFERROR(__xludf.DUMMYFUNCTION("""COMPUTED_VALUE"""),44834.0)</f>
        <v>44834</v>
      </c>
      <c r="J873" s="7">
        <f>IFERROR(__xludf.DUMMYFUNCTION("""COMPUTED_VALUE"""),44849.0)</f>
        <v>44849</v>
      </c>
      <c r="K873" s="5" t="str">
        <f>IFERROR(__xludf.DUMMYFUNCTION("""COMPUTED_VALUE"""),"upper-middle-income")</f>
        <v>upper-middle-income</v>
      </c>
      <c r="L873" s="5" t="str">
        <f>IFERROR(__xludf.DUMMYFUNCTION("""COMPUTED_VALUE"""),"Malta")</f>
        <v>Malta</v>
      </c>
      <c r="M873" s="5" t="str">
        <f>IFERROR(__xludf.DUMMYFUNCTION("""COMPUTED_VALUE"""),"Europe &amp; Central Asia")</f>
        <v>Europe &amp; Central Asia</v>
      </c>
      <c r="N873" s="5" t="str">
        <f>IFERROR(__xludf.DUMMYFUNCTION("""COMPUTED_VALUE"""),"Asia-Pacific")</f>
        <v>Asia-Pacific</v>
      </c>
      <c r="O873" s="5" t="str">
        <f>IFERROR(__xludf.DUMMYFUNCTION("""COMPUTED_VALUE"""),"developing")</f>
        <v>developing</v>
      </c>
      <c r="P873" s="5"/>
      <c r="Q873" s="5"/>
    </row>
    <row r="874">
      <c r="A874" s="5" t="str">
        <f>IFERROR(__xludf.DUMMYFUNCTION("""COMPUTED_VALUE"""),"Outbound")</f>
        <v>Outbound</v>
      </c>
      <c r="B874" s="5">
        <f>IFERROR(__xludf.DUMMYFUNCTION("""COMPUTED_VALUE"""),238.0)</f>
        <v>238</v>
      </c>
      <c r="C874" s="5" t="str">
        <f>IFERROR(__xludf.DUMMYFUNCTION("""COMPUTED_VALUE"""),"PATRONUS")</f>
        <v>PATRONUS</v>
      </c>
      <c r="D874" s="5">
        <f>IFERROR(__xludf.DUMMYFUNCTION("""COMPUTED_VALUE"""),9320324.0)</f>
        <v>9320324</v>
      </c>
      <c r="E874" s="5" t="str">
        <f>IFERROR(__xludf.DUMMYFUNCTION("""COMPUTED_VALUE"""),"Chornomorsk")</f>
        <v>Chornomorsk</v>
      </c>
      <c r="F874" s="5" t="str">
        <f>IFERROR(__xludf.DUMMYFUNCTION("""COMPUTED_VALUE"""),"Tunisia")</f>
        <v>Tunisia</v>
      </c>
      <c r="G874" s="5" t="str">
        <f>IFERROR(__xludf.DUMMYFUNCTION("""COMPUTED_VALUE"""),"Wheat")</f>
        <v>Wheat</v>
      </c>
      <c r="H874" s="6">
        <f>IFERROR(__xludf.DUMMYFUNCTION("""COMPUTED_VALUE"""),27500.0)</f>
        <v>27500</v>
      </c>
      <c r="I874" s="7">
        <f>IFERROR(__xludf.DUMMYFUNCTION("""COMPUTED_VALUE"""),44833.0)</f>
        <v>44833</v>
      </c>
      <c r="J874" s="7">
        <f>IFERROR(__xludf.DUMMYFUNCTION("""COMPUTED_VALUE"""),44856.0)</f>
        <v>44856</v>
      </c>
      <c r="K874" s="5" t="str">
        <f>IFERROR(__xludf.DUMMYFUNCTION("""COMPUTED_VALUE"""),"lower-middle income")</f>
        <v>lower-middle income</v>
      </c>
      <c r="L874" s="5" t="str">
        <f>IFERROR(__xludf.DUMMYFUNCTION("""COMPUTED_VALUE"""),"Bahamas")</f>
        <v>Bahamas</v>
      </c>
      <c r="M874" s="5" t="str">
        <f>IFERROR(__xludf.DUMMYFUNCTION("""COMPUTED_VALUE"""),"Middle East &amp; North Africa")</f>
        <v>Middle East &amp; North Africa</v>
      </c>
      <c r="N874" s="5" t="str">
        <f>IFERROR(__xludf.DUMMYFUNCTION("""COMPUTED_VALUE"""),"Africa")</f>
        <v>Africa</v>
      </c>
      <c r="O874" s="5" t="str">
        <f>IFERROR(__xludf.DUMMYFUNCTION("""COMPUTED_VALUE"""),"developing")</f>
        <v>developing</v>
      </c>
      <c r="P874" s="5"/>
      <c r="Q874" s="5"/>
    </row>
    <row r="875">
      <c r="A875" s="5" t="str">
        <f>IFERROR(__xludf.DUMMYFUNCTION("""COMPUTED_VALUE"""),"Outbound")</f>
        <v>Outbound</v>
      </c>
      <c r="B875" s="5">
        <f>IFERROR(__xludf.DUMMYFUNCTION("""COMPUTED_VALUE"""),237.0)</f>
        <v>237</v>
      </c>
      <c r="C875" s="5" t="str">
        <f>IFERROR(__xludf.DUMMYFUNCTION("""COMPUTED_VALUE"""),"NAVIN KESTREL")</f>
        <v>NAVIN KESTREL</v>
      </c>
      <c r="D875" s="5">
        <f>IFERROR(__xludf.DUMMYFUNCTION("""COMPUTED_VALUE"""),9381811.0)</f>
        <v>9381811</v>
      </c>
      <c r="E875" s="5" t="str">
        <f>IFERROR(__xludf.DUMMYFUNCTION("""COMPUTED_VALUE"""),"Chornomorsk")</f>
        <v>Chornomorsk</v>
      </c>
      <c r="F875" s="5" t="str">
        <f>IFERROR(__xludf.DUMMYFUNCTION("""COMPUTED_VALUE"""),"Türkiye")</f>
        <v>Türkiye</v>
      </c>
      <c r="G875" s="5" t="str">
        <f>IFERROR(__xludf.DUMMYFUNCTION("""COMPUTED_VALUE"""),"Sunflower meal")</f>
        <v>Sunflower meal</v>
      </c>
      <c r="H875" s="6">
        <f>IFERROR(__xludf.DUMMYFUNCTION("""COMPUTED_VALUE"""),5250.0)</f>
        <v>5250</v>
      </c>
      <c r="I875" s="7">
        <f>IFERROR(__xludf.DUMMYFUNCTION("""COMPUTED_VALUE"""),44833.0)</f>
        <v>44833</v>
      </c>
      <c r="J875" s="7">
        <f>IFERROR(__xludf.DUMMYFUNCTION("""COMPUTED_VALUE"""),44851.0)</f>
        <v>44851</v>
      </c>
      <c r="K875" s="5" t="str">
        <f>IFERROR(__xludf.DUMMYFUNCTION("""COMPUTED_VALUE"""),"upper-middle-income")</f>
        <v>upper-middle-income</v>
      </c>
      <c r="L875" s="5" t="str">
        <f>IFERROR(__xludf.DUMMYFUNCTION("""COMPUTED_VALUE"""),"Marshall Islands")</f>
        <v>Marshall Islands</v>
      </c>
      <c r="M875" s="5" t="str">
        <f>IFERROR(__xludf.DUMMYFUNCTION("""COMPUTED_VALUE"""),"Europe &amp; Central Asia")</f>
        <v>Europe &amp; Central Asia</v>
      </c>
      <c r="N875" s="5" t="str">
        <f>IFERROR(__xludf.DUMMYFUNCTION("""COMPUTED_VALUE"""),"Asia-Pacific")</f>
        <v>Asia-Pacific</v>
      </c>
      <c r="O875" s="5" t="str">
        <f>IFERROR(__xludf.DUMMYFUNCTION("""COMPUTED_VALUE"""),"developing")</f>
        <v>developing</v>
      </c>
      <c r="P875" s="5"/>
      <c r="Q875" s="5"/>
    </row>
    <row r="876">
      <c r="A876" s="5" t="str">
        <f>IFERROR(__xludf.DUMMYFUNCTION("""COMPUTED_VALUE"""),"Outbound")</f>
        <v>Outbound</v>
      </c>
      <c r="B876" s="5">
        <f>IFERROR(__xludf.DUMMYFUNCTION("""COMPUTED_VALUE"""),236.0)</f>
        <v>236</v>
      </c>
      <c r="C876" s="5" t="str">
        <f>IFERROR(__xludf.DUMMYFUNCTION("""COMPUTED_VALUE"""),"ADAM A")</f>
        <v>ADAM A</v>
      </c>
      <c r="D876" s="5">
        <f>IFERROR(__xludf.DUMMYFUNCTION("""COMPUTED_VALUE"""),9114543.0)</f>
        <v>9114543</v>
      </c>
      <c r="E876" s="5" t="str">
        <f>IFERROR(__xludf.DUMMYFUNCTION("""COMPUTED_VALUE"""),"Yuzhny/Pivdennyi")</f>
        <v>Yuzhny/Pivdennyi</v>
      </c>
      <c r="F876" s="5" t="str">
        <f>IFERROR(__xludf.DUMMYFUNCTION("""COMPUTED_VALUE"""),"Türkiye")</f>
        <v>Türkiye</v>
      </c>
      <c r="G876" s="5" t="str">
        <f>IFERROR(__xludf.DUMMYFUNCTION("""COMPUTED_VALUE"""),"Wheat")</f>
        <v>Wheat</v>
      </c>
      <c r="H876" s="6">
        <f>IFERROR(__xludf.DUMMYFUNCTION("""COMPUTED_VALUE"""),27700.0)</f>
        <v>27700</v>
      </c>
      <c r="I876" s="7">
        <f>IFERROR(__xludf.DUMMYFUNCTION("""COMPUTED_VALUE"""),44833.0)</f>
        <v>44833</v>
      </c>
      <c r="J876" s="7">
        <f>IFERROR(__xludf.DUMMYFUNCTION("""COMPUTED_VALUE"""),44851.0)</f>
        <v>44851</v>
      </c>
      <c r="K876" s="5" t="str">
        <f>IFERROR(__xludf.DUMMYFUNCTION("""COMPUTED_VALUE"""),"upper-middle-income")</f>
        <v>upper-middle-income</v>
      </c>
      <c r="L876" s="5" t="str">
        <f>IFERROR(__xludf.DUMMYFUNCTION("""COMPUTED_VALUE"""),"Palau")</f>
        <v>Palau</v>
      </c>
      <c r="M876" s="5" t="str">
        <f>IFERROR(__xludf.DUMMYFUNCTION("""COMPUTED_VALUE"""),"Europe &amp; Central Asia")</f>
        <v>Europe &amp; Central Asia</v>
      </c>
      <c r="N876" s="5" t="str">
        <f>IFERROR(__xludf.DUMMYFUNCTION("""COMPUTED_VALUE"""),"Asia-Pacific")</f>
        <v>Asia-Pacific</v>
      </c>
      <c r="O876" s="5" t="str">
        <f>IFERROR(__xludf.DUMMYFUNCTION("""COMPUTED_VALUE"""),"developing")</f>
        <v>developing</v>
      </c>
      <c r="P876" s="5"/>
      <c r="Q876" s="5"/>
    </row>
    <row r="877">
      <c r="A877" s="5" t="str">
        <f>IFERROR(__xludf.DUMMYFUNCTION("""COMPUTED_VALUE"""),"Outbound")</f>
        <v>Outbound</v>
      </c>
      <c r="B877" s="5">
        <f>IFERROR(__xludf.DUMMYFUNCTION("""COMPUTED_VALUE"""),235.0)</f>
        <v>235</v>
      </c>
      <c r="C877" s="5" t="str">
        <f>IFERROR(__xludf.DUMMYFUNCTION("""COMPUTED_VALUE"""),"MAGNUM FORTUNE")</f>
        <v>MAGNUM FORTUNE</v>
      </c>
      <c r="D877" s="5">
        <f>IFERROR(__xludf.DUMMYFUNCTION("""COMPUTED_VALUE"""),9488970.0)</f>
        <v>9488970</v>
      </c>
      <c r="E877" s="5" t="str">
        <f>IFERROR(__xludf.DUMMYFUNCTION("""COMPUTED_VALUE"""),"Chornomorsk")</f>
        <v>Chornomorsk</v>
      </c>
      <c r="F877" s="5" t="str">
        <f>IFERROR(__xludf.DUMMYFUNCTION("""COMPUTED_VALUE"""),"Bangladesh")</f>
        <v>Bangladesh</v>
      </c>
      <c r="G877" s="5" t="str">
        <f>IFERROR(__xludf.DUMMYFUNCTION("""COMPUTED_VALUE"""),"Wheat")</f>
        <v>Wheat</v>
      </c>
      <c r="H877" s="6">
        <f>IFERROR(__xludf.DUMMYFUNCTION("""COMPUTED_VALUE"""),51175.0)</f>
        <v>51175</v>
      </c>
      <c r="I877" s="7">
        <f>IFERROR(__xludf.DUMMYFUNCTION("""COMPUTED_VALUE"""),44832.0)</f>
        <v>44832</v>
      </c>
      <c r="J877" s="7">
        <f>IFERROR(__xludf.DUMMYFUNCTION("""COMPUTED_VALUE"""),44851.0)</f>
        <v>44851</v>
      </c>
      <c r="K877" s="5" t="str">
        <f>IFERROR(__xludf.DUMMYFUNCTION("""COMPUTED_VALUE"""),"lower-middle income")</f>
        <v>lower-middle income</v>
      </c>
      <c r="L877" s="5" t="str">
        <f>IFERROR(__xludf.DUMMYFUNCTION("""COMPUTED_VALUE"""),"Liberia")</f>
        <v>Liberia</v>
      </c>
      <c r="M877" s="5" t="str">
        <f>IFERROR(__xludf.DUMMYFUNCTION("""COMPUTED_VALUE"""),"South Asia")</f>
        <v>South Asia</v>
      </c>
      <c r="N877" s="5" t="str">
        <f>IFERROR(__xludf.DUMMYFUNCTION("""COMPUTED_VALUE"""),"Asia-Pacific")</f>
        <v>Asia-Pacific</v>
      </c>
      <c r="O877" s="5" t="str">
        <f>IFERROR(__xludf.DUMMYFUNCTION("""COMPUTED_VALUE"""),"developing")</f>
        <v>developing</v>
      </c>
      <c r="P877" s="5"/>
      <c r="Q877" s="5"/>
    </row>
    <row r="878">
      <c r="A878" s="5" t="str">
        <f>IFERROR(__xludf.DUMMYFUNCTION("""COMPUTED_VALUE"""),"Outbound")</f>
        <v>Outbound</v>
      </c>
      <c r="B878" s="5">
        <f>IFERROR(__xludf.DUMMYFUNCTION("""COMPUTED_VALUE"""),234.0)</f>
        <v>234</v>
      </c>
      <c r="C878" s="5" t="str">
        <f>IFERROR(__xludf.DUMMYFUNCTION("""COMPUTED_VALUE"""),"FREZYA S")</f>
        <v>FREZYA S</v>
      </c>
      <c r="D878" s="5">
        <f>IFERROR(__xludf.DUMMYFUNCTION("""COMPUTED_VALUE"""),9353022.0)</f>
        <v>9353022</v>
      </c>
      <c r="E878" s="5" t="str">
        <f>IFERROR(__xludf.DUMMYFUNCTION("""COMPUTED_VALUE"""),"Chornomorsk")</f>
        <v>Chornomorsk</v>
      </c>
      <c r="F878" s="5" t="str">
        <f>IFERROR(__xludf.DUMMYFUNCTION("""COMPUTED_VALUE"""),"Italy")</f>
        <v>Italy</v>
      </c>
      <c r="G878" s="5" t="str">
        <f>IFERROR(__xludf.DUMMYFUNCTION("""COMPUTED_VALUE"""),"Sunflower meal")</f>
        <v>Sunflower meal</v>
      </c>
      <c r="H878" s="6">
        <f>IFERROR(__xludf.DUMMYFUNCTION("""COMPUTED_VALUE"""),5350.0)</f>
        <v>5350</v>
      </c>
      <c r="I878" s="7">
        <f>IFERROR(__xludf.DUMMYFUNCTION("""COMPUTED_VALUE"""),44832.0)</f>
        <v>44832</v>
      </c>
      <c r="J878" s="7">
        <f>IFERROR(__xludf.DUMMYFUNCTION("""COMPUTED_VALUE"""),44846.0)</f>
        <v>44846</v>
      </c>
      <c r="K878" s="5" t="str">
        <f>IFERROR(__xludf.DUMMYFUNCTION("""COMPUTED_VALUE"""),"high-income")</f>
        <v>high-income</v>
      </c>
      <c r="L878" s="5" t="str">
        <f>IFERROR(__xludf.DUMMYFUNCTION("""COMPUTED_VALUE"""),"Panama")</f>
        <v>Panama</v>
      </c>
      <c r="M878" s="5" t="str">
        <f>IFERROR(__xludf.DUMMYFUNCTION("""COMPUTED_VALUE"""),"Europe &amp; Central Asia")</f>
        <v>Europe &amp; Central Asia</v>
      </c>
      <c r="N878" s="5" t="str">
        <f>IFERROR(__xludf.DUMMYFUNCTION("""COMPUTED_VALUE"""),"Western Europe and Others")</f>
        <v>Western Europe and Others</v>
      </c>
      <c r="O878" s="5" t="str">
        <f>IFERROR(__xludf.DUMMYFUNCTION("""COMPUTED_VALUE"""),"developed")</f>
        <v>developed</v>
      </c>
      <c r="P878" s="5"/>
      <c r="Q878" s="5"/>
    </row>
    <row r="879">
      <c r="A879" s="5" t="str">
        <f>IFERROR(__xludf.DUMMYFUNCTION("""COMPUTED_VALUE"""),"Outbound")</f>
        <v>Outbound</v>
      </c>
      <c r="B879" s="5">
        <f>IFERROR(__xludf.DUMMYFUNCTION("""COMPUTED_VALUE"""),233.0)</f>
        <v>233</v>
      </c>
      <c r="C879" s="5" t="str">
        <f>IFERROR(__xludf.DUMMYFUNCTION("""COMPUTED_VALUE"""),"DAYTONA DYNAMIC")</f>
        <v>DAYTONA DYNAMIC</v>
      </c>
      <c r="D879" s="5">
        <f>IFERROR(__xludf.DUMMYFUNCTION("""COMPUTED_VALUE"""),8914726.0)</f>
        <v>8914726</v>
      </c>
      <c r="E879" s="5" t="str">
        <f>IFERROR(__xludf.DUMMYFUNCTION("""COMPUTED_VALUE"""),"Chornomorsk")</f>
        <v>Chornomorsk</v>
      </c>
      <c r="F879" s="5" t="str">
        <f>IFERROR(__xludf.DUMMYFUNCTION("""COMPUTED_VALUE"""),"Romania")</f>
        <v>Romania</v>
      </c>
      <c r="G879" s="5" t="str">
        <f>IFERROR(__xludf.DUMMYFUNCTION("""COMPUTED_VALUE"""),"Corn")</f>
        <v>Corn</v>
      </c>
      <c r="H879" s="6">
        <f>IFERROR(__xludf.DUMMYFUNCTION("""COMPUTED_VALUE"""),26000.0)</f>
        <v>26000</v>
      </c>
      <c r="I879" s="7">
        <f>IFERROR(__xludf.DUMMYFUNCTION("""COMPUTED_VALUE"""),44832.0)</f>
        <v>44832</v>
      </c>
      <c r="J879" s="7">
        <f>IFERROR(__xludf.DUMMYFUNCTION("""COMPUTED_VALUE"""),44848.0)</f>
        <v>44848</v>
      </c>
      <c r="K879" s="5" t="str">
        <f>IFERROR(__xludf.DUMMYFUNCTION("""COMPUTED_VALUE"""),"high-income")</f>
        <v>high-income</v>
      </c>
      <c r="L879" s="5" t="str">
        <f>IFERROR(__xludf.DUMMYFUNCTION("""COMPUTED_VALUE"""),"Comoros")</f>
        <v>Comoros</v>
      </c>
      <c r="M879" s="5" t="str">
        <f>IFERROR(__xludf.DUMMYFUNCTION("""COMPUTED_VALUE"""),"Europe &amp; Central Asia")</f>
        <v>Europe &amp; Central Asia</v>
      </c>
      <c r="N879" s="5" t="str">
        <f>IFERROR(__xludf.DUMMYFUNCTION("""COMPUTED_VALUE"""),"Eastern Europe")</f>
        <v>Eastern Europe</v>
      </c>
      <c r="O879" s="5" t="str">
        <f>IFERROR(__xludf.DUMMYFUNCTION("""COMPUTED_VALUE"""),"developed")</f>
        <v>developed</v>
      </c>
      <c r="P879" s="5"/>
      <c r="Q879" s="5"/>
    </row>
    <row r="880">
      <c r="A880" s="5" t="str">
        <f>IFERROR(__xludf.DUMMYFUNCTION("""COMPUTED_VALUE"""),"Outbound")</f>
        <v>Outbound</v>
      </c>
      <c r="B880" s="5">
        <f>IFERROR(__xludf.DUMMYFUNCTION("""COMPUTED_VALUE"""),232.0)</f>
        <v>232</v>
      </c>
      <c r="C880" s="5" t="str">
        <f>IFERROR(__xludf.DUMMYFUNCTION("""COMPUTED_VALUE"""),"ALMERAY")</f>
        <v>ALMERAY</v>
      </c>
      <c r="D880" s="5">
        <f>IFERROR(__xludf.DUMMYFUNCTION("""COMPUTED_VALUE"""),9300910.0)</f>
        <v>9300910</v>
      </c>
      <c r="E880" s="5" t="str">
        <f>IFERROR(__xludf.DUMMYFUNCTION("""COMPUTED_VALUE"""),"Yuzhny/Pivdennyi")</f>
        <v>Yuzhny/Pivdennyi</v>
      </c>
      <c r="F880" s="5" t="str">
        <f>IFERROR(__xludf.DUMMYFUNCTION("""COMPUTED_VALUE"""),"Libya")</f>
        <v>Libya</v>
      </c>
      <c r="G880" s="5" t="str">
        <f>IFERROR(__xludf.DUMMYFUNCTION("""COMPUTED_VALUE"""),"Corn")</f>
        <v>Corn</v>
      </c>
      <c r="H880" s="6">
        <f>IFERROR(__xludf.DUMMYFUNCTION("""COMPUTED_VALUE"""),32400.0)</f>
        <v>32400</v>
      </c>
      <c r="I880" s="7">
        <f>IFERROR(__xludf.DUMMYFUNCTION("""COMPUTED_VALUE"""),44832.0)</f>
        <v>44832</v>
      </c>
      <c r="J880" s="7">
        <f>IFERROR(__xludf.DUMMYFUNCTION("""COMPUTED_VALUE"""),44848.0)</f>
        <v>44848</v>
      </c>
      <c r="K880" s="5" t="str">
        <f>IFERROR(__xludf.DUMMYFUNCTION("""COMPUTED_VALUE"""),"upper-middle-income")</f>
        <v>upper-middle-income</v>
      </c>
      <c r="L880" s="5" t="str">
        <f>IFERROR(__xludf.DUMMYFUNCTION("""COMPUTED_VALUE"""),"St. Vincent and the Grenadines")</f>
        <v>St. Vincent and the Grenadines</v>
      </c>
      <c r="M880" s="5" t="str">
        <f>IFERROR(__xludf.DUMMYFUNCTION("""COMPUTED_VALUE"""),"Middle East &amp; North Africa")</f>
        <v>Middle East &amp; North Africa</v>
      </c>
      <c r="N880" s="5" t="str">
        <f>IFERROR(__xludf.DUMMYFUNCTION("""COMPUTED_VALUE"""),"Africa")</f>
        <v>Africa</v>
      </c>
      <c r="O880" s="5" t="str">
        <f>IFERROR(__xludf.DUMMYFUNCTION("""COMPUTED_VALUE"""),"developing")</f>
        <v>developing</v>
      </c>
      <c r="P880" s="5"/>
      <c r="Q880" s="5"/>
    </row>
    <row r="881">
      <c r="A881" s="5" t="str">
        <f>IFERROR(__xludf.DUMMYFUNCTION("""COMPUTED_VALUE"""),"Outbound")</f>
        <v>Outbound</v>
      </c>
      <c r="B881" s="5">
        <f>IFERROR(__xludf.DUMMYFUNCTION("""COMPUTED_VALUE"""),231.0)</f>
        <v>231</v>
      </c>
      <c r="C881" s="5" t="str">
        <f>IFERROR(__xludf.DUMMYFUNCTION("""COMPUTED_VALUE"""),"SARA")</f>
        <v>SARA</v>
      </c>
      <c r="D881" s="5">
        <f>IFERROR(__xludf.DUMMYFUNCTION("""COMPUTED_VALUE"""),9259020.0)</f>
        <v>9259020</v>
      </c>
      <c r="E881" s="5" t="str">
        <f>IFERROR(__xludf.DUMMYFUNCTION("""COMPUTED_VALUE"""),"Odesa")</f>
        <v>Odesa</v>
      </c>
      <c r="F881" s="5" t="str">
        <f>IFERROR(__xludf.DUMMYFUNCTION("""COMPUTED_VALUE"""),"Türkiye")</f>
        <v>Türkiye</v>
      </c>
      <c r="G881" s="5" t="str">
        <f>IFERROR(__xludf.DUMMYFUNCTION("""COMPUTED_VALUE"""),"Soya beans")</f>
        <v>Soya beans</v>
      </c>
      <c r="H881" s="6">
        <f>IFERROR(__xludf.DUMMYFUNCTION("""COMPUTED_VALUE"""),8000.0)</f>
        <v>8000</v>
      </c>
      <c r="I881" s="7">
        <f>IFERROR(__xludf.DUMMYFUNCTION("""COMPUTED_VALUE"""),44831.0)</f>
        <v>44831</v>
      </c>
      <c r="J881" s="7">
        <f>IFERROR(__xludf.DUMMYFUNCTION("""COMPUTED_VALUE"""),44839.0)</f>
        <v>44839</v>
      </c>
      <c r="K881" s="5" t="str">
        <f>IFERROR(__xludf.DUMMYFUNCTION("""COMPUTED_VALUE"""),"upper-middle-income")</f>
        <v>upper-middle-income</v>
      </c>
      <c r="L881" s="5" t="str">
        <f>IFERROR(__xludf.DUMMYFUNCTION("""COMPUTED_VALUE"""),"Palau")</f>
        <v>Palau</v>
      </c>
      <c r="M881" s="5" t="str">
        <f>IFERROR(__xludf.DUMMYFUNCTION("""COMPUTED_VALUE"""),"Europe &amp; Central Asia")</f>
        <v>Europe &amp; Central Asia</v>
      </c>
      <c r="N881" s="5" t="str">
        <f>IFERROR(__xludf.DUMMYFUNCTION("""COMPUTED_VALUE"""),"Asia-Pacific")</f>
        <v>Asia-Pacific</v>
      </c>
      <c r="O881" s="5" t="str">
        <f>IFERROR(__xludf.DUMMYFUNCTION("""COMPUTED_VALUE"""),"developing")</f>
        <v>developing</v>
      </c>
      <c r="P881" s="5"/>
      <c r="Q881" s="5"/>
    </row>
    <row r="882">
      <c r="A882" s="5" t="str">
        <f>IFERROR(__xludf.DUMMYFUNCTION("""COMPUTED_VALUE"""),"Outbound")</f>
        <v>Outbound</v>
      </c>
      <c r="B882" s="5">
        <f>IFERROR(__xludf.DUMMYFUNCTION("""COMPUTED_VALUE"""),230.0)</f>
        <v>230</v>
      </c>
      <c r="C882" s="5" t="str">
        <f>IFERROR(__xludf.DUMMYFUNCTION("""COMPUTED_VALUE"""),"PEACE M")</f>
        <v>PEACE M</v>
      </c>
      <c r="D882" s="5">
        <f>IFERROR(__xludf.DUMMYFUNCTION("""COMPUTED_VALUE"""),9086318.0)</f>
        <v>9086318</v>
      </c>
      <c r="E882" s="5" t="str">
        <f>IFERROR(__xludf.DUMMYFUNCTION("""COMPUTED_VALUE"""),"Odesa")</f>
        <v>Odesa</v>
      </c>
      <c r="F882" s="5" t="str">
        <f>IFERROR(__xludf.DUMMYFUNCTION("""COMPUTED_VALUE"""),"Romania")</f>
        <v>Romania</v>
      </c>
      <c r="G882" s="5" t="str">
        <f>IFERROR(__xludf.DUMMYFUNCTION("""COMPUTED_VALUE"""),"Corn")</f>
        <v>Corn</v>
      </c>
      <c r="H882" s="6">
        <f>IFERROR(__xludf.DUMMYFUNCTION("""COMPUTED_VALUE"""),24718.0)</f>
        <v>24718</v>
      </c>
      <c r="I882" s="7">
        <f>IFERROR(__xludf.DUMMYFUNCTION("""COMPUTED_VALUE"""),44831.0)</f>
        <v>44831</v>
      </c>
      <c r="J882" s="7">
        <f>IFERROR(__xludf.DUMMYFUNCTION("""COMPUTED_VALUE"""),44845.0)</f>
        <v>44845</v>
      </c>
      <c r="K882" s="5" t="str">
        <f>IFERROR(__xludf.DUMMYFUNCTION("""COMPUTED_VALUE"""),"high-income")</f>
        <v>high-income</v>
      </c>
      <c r="L882" s="5" t="str">
        <f>IFERROR(__xludf.DUMMYFUNCTION("""COMPUTED_VALUE"""),"Palau")</f>
        <v>Palau</v>
      </c>
      <c r="M882" s="5" t="str">
        <f>IFERROR(__xludf.DUMMYFUNCTION("""COMPUTED_VALUE"""),"Europe &amp; Central Asia")</f>
        <v>Europe &amp; Central Asia</v>
      </c>
      <c r="N882" s="5" t="str">
        <f>IFERROR(__xludf.DUMMYFUNCTION("""COMPUTED_VALUE"""),"Eastern Europe")</f>
        <v>Eastern Europe</v>
      </c>
      <c r="O882" s="5" t="str">
        <f>IFERROR(__xludf.DUMMYFUNCTION("""COMPUTED_VALUE"""),"developed")</f>
        <v>developed</v>
      </c>
      <c r="P882" s="5"/>
      <c r="Q882" s="5"/>
    </row>
    <row r="883">
      <c r="A883" s="5" t="str">
        <f>IFERROR(__xludf.DUMMYFUNCTION("""COMPUTED_VALUE"""),"Outbound")</f>
        <v>Outbound</v>
      </c>
      <c r="B883" s="5">
        <f>IFERROR(__xludf.DUMMYFUNCTION("""COMPUTED_VALUE"""),229.0)</f>
        <v>229</v>
      </c>
      <c r="C883" s="5" t="str">
        <f>IFERROR(__xludf.DUMMYFUNCTION("""COMPUTED_VALUE"""),"NORD VIND")</f>
        <v>NORD VIND</v>
      </c>
      <c r="D883" s="5">
        <f>IFERROR(__xludf.DUMMYFUNCTION("""COMPUTED_VALUE"""),9573921.0)</f>
        <v>9573921</v>
      </c>
      <c r="E883" s="5" t="str">
        <f>IFERROR(__xludf.DUMMYFUNCTION("""COMPUTED_VALUE"""),"Odesa")</f>
        <v>Odesa</v>
      </c>
      <c r="F883" s="5" t="str">
        <f>IFERROR(__xludf.DUMMYFUNCTION("""COMPUTED_VALUE"""),"Tunisia")</f>
        <v>Tunisia</v>
      </c>
      <c r="G883" s="5" t="str">
        <f>IFERROR(__xludf.DUMMYFUNCTION("""COMPUTED_VALUE"""),"Wheat")</f>
        <v>Wheat</v>
      </c>
      <c r="H883" s="6">
        <f>IFERROR(__xludf.DUMMYFUNCTION("""COMPUTED_VALUE"""),27250.0)</f>
        <v>27250</v>
      </c>
      <c r="I883" s="7">
        <f>IFERROR(__xludf.DUMMYFUNCTION("""COMPUTED_VALUE"""),44831.0)</f>
        <v>44831</v>
      </c>
      <c r="J883" s="7">
        <f>IFERROR(__xludf.DUMMYFUNCTION("""COMPUTED_VALUE"""),44845.0)</f>
        <v>44845</v>
      </c>
      <c r="K883" s="5" t="str">
        <f>IFERROR(__xludf.DUMMYFUNCTION("""COMPUTED_VALUE"""),"lower-middle income")</f>
        <v>lower-middle income</v>
      </c>
      <c r="L883" s="5" t="str">
        <f>IFERROR(__xludf.DUMMYFUNCTION("""COMPUTED_VALUE"""),"Barbados")</f>
        <v>Barbados</v>
      </c>
      <c r="M883" s="5" t="str">
        <f>IFERROR(__xludf.DUMMYFUNCTION("""COMPUTED_VALUE"""),"Middle East &amp; North Africa")</f>
        <v>Middle East &amp; North Africa</v>
      </c>
      <c r="N883" s="5" t="str">
        <f>IFERROR(__xludf.DUMMYFUNCTION("""COMPUTED_VALUE"""),"Africa")</f>
        <v>Africa</v>
      </c>
      <c r="O883" s="5" t="str">
        <f>IFERROR(__xludf.DUMMYFUNCTION("""COMPUTED_VALUE"""),"developing")</f>
        <v>developing</v>
      </c>
      <c r="P883" s="5"/>
      <c r="Q883" s="5"/>
    </row>
    <row r="884">
      <c r="A884" s="5" t="str">
        <f>IFERROR(__xludf.DUMMYFUNCTION("""COMPUTED_VALUE"""),"Outbound")</f>
        <v>Outbound</v>
      </c>
      <c r="B884" s="5">
        <f>IFERROR(__xludf.DUMMYFUNCTION("""COMPUTED_VALUE"""),228.0)</f>
        <v>228</v>
      </c>
      <c r="C884" s="5" t="str">
        <f>IFERROR(__xludf.DUMMYFUNCTION("""COMPUTED_VALUE"""),"NIMET TORLAK")</f>
        <v>NIMET TORLAK</v>
      </c>
      <c r="D884" s="5">
        <f>IFERROR(__xludf.DUMMYFUNCTION("""COMPUTED_VALUE"""),9282948.0)</f>
        <v>9282948</v>
      </c>
      <c r="E884" s="5" t="str">
        <f>IFERROR(__xludf.DUMMYFUNCTION("""COMPUTED_VALUE"""),"Chornomorsk")</f>
        <v>Chornomorsk</v>
      </c>
      <c r="F884" s="5" t="str">
        <f>IFERROR(__xludf.DUMMYFUNCTION("""COMPUTED_VALUE"""),"Türkiye")</f>
        <v>Türkiye</v>
      </c>
      <c r="G884" s="5" t="str">
        <f>IFERROR(__xludf.DUMMYFUNCTION("""COMPUTED_VALUE"""),"Wheat")</f>
        <v>Wheat</v>
      </c>
      <c r="H884" s="6">
        <f>IFERROR(__xludf.DUMMYFUNCTION("""COMPUTED_VALUE"""),17325.0)</f>
        <v>17325</v>
      </c>
      <c r="I884" s="7">
        <f>IFERROR(__xludf.DUMMYFUNCTION("""COMPUTED_VALUE"""),44831.0)</f>
        <v>44831</v>
      </c>
      <c r="J884" s="7">
        <f>IFERROR(__xludf.DUMMYFUNCTION("""COMPUTED_VALUE"""),44846.0)</f>
        <v>44846</v>
      </c>
      <c r="K884" s="5" t="str">
        <f>IFERROR(__xludf.DUMMYFUNCTION("""COMPUTED_VALUE"""),"upper-middle-income")</f>
        <v>upper-middle-income</v>
      </c>
      <c r="L884" s="5" t="str">
        <f>IFERROR(__xludf.DUMMYFUNCTION("""COMPUTED_VALUE"""),"Liberia")</f>
        <v>Liberia</v>
      </c>
      <c r="M884" s="5" t="str">
        <f>IFERROR(__xludf.DUMMYFUNCTION("""COMPUTED_VALUE"""),"Europe &amp; Central Asia")</f>
        <v>Europe &amp; Central Asia</v>
      </c>
      <c r="N884" s="5" t="str">
        <f>IFERROR(__xludf.DUMMYFUNCTION("""COMPUTED_VALUE"""),"Asia-Pacific")</f>
        <v>Asia-Pacific</v>
      </c>
      <c r="O884" s="5" t="str">
        <f>IFERROR(__xludf.DUMMYFUNCTION("""COMPUTED_VALUE"""),"developing")</f>
        <v>developing</v>
      </c>
      <c r="P884" s="5"/>
      <c r="Q884" s="5"/>
    </row>
    <row r="885">
      <c r="A885" s="5" t="str">
        <f>IFERROR(__xludf.DUMMYFUNCTION("""COMPUTED_VALUE"""),"Outbound")</f>
        <v>Outbound</v>
      </c>
      <c r="B885" s="5">
        <f>IFERROR(__xludf.DUMMYFUNCTION("""COMPUTED_VALUE"""),227.0)</f>
        <v>227</v>
      </c>
      <c r="C885" s="5" t="str">
        <f>IFERROR(__xludf.DUMMYFUNCTION("""COMPUTED_VALUE"""),"NAZENIN")</f>
        <v>NAZENIN</v>
      </c>
      <c r="D885" s="5">
        <f>IFERROR(__xludf.DUMMYFUNCTION("""COMPUTED_VALUE"""),9545508.0)</f>
        <v>9545508</v>
      </c>
      <c r="E885" s="5" t="str">
        <f>IFERROR(__xludf.DUMMYFUNCTION("""COMPUTED_VALUE"""),"Chornomorsk")</f>
        <v>Chornomorsk</v>
      </c>
      <c r="F885" s="5" t="str">
        <f>IFERROR(__xludf.DUMMYFUNCTION("""COMPUTED_VALUE"""),"France")</f>
        <v>France</v>
      </c>
      <c r="G885" s="5" t="str">
        <f>IFERROR(__xludf.DUMMYFUNCTION("""COMPUTED_VALUE"""),"Rapeseed")</f>
        <v>Rapeseed</v>
      </c>
      <c r="H885" s="6">
        <f>IFERROR(__xludf.DUMMYFUNCTION("""COMPUTED_VALUE"""),30350.0)</f>
        <v>30350</v>
      </c>
      <c r="I885" s="7">
        <f>IFERROR(__xludf.DUMMYFUNCTION("""COMPUTED_VALUE"""),44831.0)</f>
        <v>44831</v>
      </c>
      <c r="J885" s="7">
        <f>IFERROR(__xludf.DUMMYFUNCTION("""COMPUTED_VALUE"""),44848.0)</f>
        <v>44848</v>
      </c>
      <c r="K885" s="5" t="str">
        <f>IFERROR(__xludf.DUMMYFUNCTION("""COMPUTED_VALUE"""),"high-income")</f>
        <v>high-income</v>
      </c>
      <c r="L885" s="5" t="str">
        <f>IFERROR(__xludf.DUMMYFUNCTION("""COMPUTED_VALUE"""),"Marshall Islands")</f>
        <v>Marshall Islands</v>
      </c>
      <c r="M885" s="5" t="str">
        <f>IFERROR(__xludf.DUMMYFUNCTION("""COMPUTED_VALUE"""),"Europe &amp; Central Asia")</f>
        <v>Europe &amp; Central Asia</v>
      </c>
      <c r="N885" s="5" t="str">
        <f>IFERROR(__xludf.DUMMYFUNCTION("""COMPUTED_VALUE"""),"Western Europe and Others")</f>
        <v>Western Europe and Others</v>
      </c>
      <c r="O885" s="5" t="str">
        <f>IFERROR(__xludf.DUMMYFUNCTION("""COMPUTED_VALUE"""),"developed")</f>
        <v>developed</v>
      </c>
      <c r="P885" s="5"/>
      <c r="Q885" s="5"/>
    </row>
    <row r="886">
      <c r="A886" s="5" t="str">
        <f>IFERROR(__xludf.DUMMYFUNCTION("""COMPUTED_VALUE"""),"Outbound")</f>
        <v>Outbound</v>
      </c>
      <c r="B886" s="5">
        <f>IFERROR(__xludf.DUMMYFUNCTION("""COMPUTED_VALUE"""),226.0)</f>
        <v>226</v>
      </c>
      <c r="C886" s="5" t="str">
        <f>IFERROR(__xludf.DUMMYFUNCTION("""COMPUTED_VALUE"""),"MARAN EXCELLENCE")</f>
        <v>MARAN EXCELLENCE</v>
      </c>
      <c r="D886" s="5">
        <f>IFERROR(__xludf.DUMMYFUNCTION("""COMPUTED_VALUE"""),9703241.0)</f>
        <v>9703241</v>
      </c>
      <c r="E886" s="5" t="str">
        <f>IFERROR(__xludf.DUMMYFUNCTION("""COMPUTED_VALUE"""),"Yuzhny/Pivdennyi")</f>
        <v>Yuzhny/Pivdennyi</v>
      </c>
      <c r="F886" s="5" t="str">
        <f>IFERROR(__xludf.DUMMYFUNCTION("""COMPUTED_VALUE"""),"Spain")</f>
        <v>Spain</v>
      </c>
      <c r="G886" s="5" t="str">
        <f>IFERROR(__xludf.DUMMYFUNCTION("""COMPUTED_VALUE"""),"Barley")</f>
        <v>Barley</v>
      </c>
      <c r="H886" s="6">
        <f>IFERROR(__xludf.DUMMYFUNCTION("""COMPUTED_VALUE"""),66000.0)</f>
        <v>66000</v>
      </c>
      <c r="I886" s="7">
        <f>IFERROR(__xludf.DUMMYFUNCTION("""COMPUTED_VALUE"""),44831.0)</f>
        <v>44831</v>
      </c>
      <c r="J886" s="7">
        <f>IFERROR(__xludf.DUMMYFUNCTION("""COMPUTED_VALUE"""),44847.0)</f>
        <v>44847</v>
      </c>
      <c r="K886" s="5" t="str">
        <f>IFERROR(__xludf.DUMMYFUNCTION("""COMPUTED_VALUE"""),"high-income")</f>
        <v>high-income</v>
      </c>
      <c r="L886" s="5" t="str">
        <f>IFERROR(__xludf.DUMMYFUNCTION("""COMPUTED_VALUE"""),"Malta")</f>
        <v>Malta</v>
      </c>
      <c r="M886" s="5" t="str">
        <f>IFERROR(__xludf.DUMMYFUNCTION("""COMPUTED_VALUE"""),"Europe &amp; Central Asia")</f>
        <v>Europe &amp; Central Asia</v>
      </c>
      <c r="N886" s="5" t="str">
        <f>IFERROR(__xludf.DUMMYFUNCTION("""COMPUTED_VALUE"""),"Western Europe and Others")</f>
        <v>Western Europe and Others</v>
      </c>
      <c r="O886" s="5" t="str">
        <f>IFERROR(__xludf.DUMMYFUNCTION("""COMPUTED_VALUE"""),"developed")</f>
        <v>developed</v>
      </c>
      <c r="P886" s="5"/>
      <c r="Q886" s="5" t="str">
        <f>IFERROR(__xludf.DUMMYFUNCTION("""COMPUTED_VALUE"""),"Stranded")</f>
        <v>Stranded</v>
      </c>
    </row>
    <row r="887">
      <c r="A887" s="5" t="str">
        <f>IFERROR(__xludf.DUMMYFUNCTION("""COMPUTED_VALUE"""),"Outbound +")</f>
        <v>Outbound +</v>
      </c>
      <c r="B887" s="5">
        <f>IFERROR(__xludf.DUMMYFUNCTION("""COMPUTED_VALUE"""),226.0)</f>
        <v>226</v>
      </c>
      <c r="C887" s="5" t="str">
        <f>IFERROR(__xludf.DUMMYFUNCTION("""COMPUTED_VALUE"""),"MARAN EXCELLENCE")</f>
        <v>MARAN EXCELLENCE</v>
      </c>
      <c r="D887" s="5">
        <f>IFERROR(__xludf.DUMMYFUNCTION("""COMPUTED_VALUE"""),9703241.0)</f>
        <v>9703241</v>
      </c>
      <c r="E887" s="5" t="str">
        <f>IFERROR(__xludf.DUMMYFUNCTION("""COMPUTED_VALUE"""),"Yuzhny/Pivdennyi")</f>
        <v>Yuzhny/Pivdennyi</v>
      </c>
      <c r="F887" s="5" t="str">
        <f>IFERROR(__xludf.DUMMYFUNCTION("""COMPUTED_VALUE"""),"Spain")</f>
        <v>Spain</v>
      </c>
      <c r="G887" s="5" t="str">
        <f>IFERROR(__xludf.DUMMYFUNCTION("""COMPUTED_VALUE"""),"Wheat")</f>
        <v>Wheat</v>
      </c>
      <c r="H887" s="6">
        <f>IFERROR(__xludf.DUMMYFUNCTION("""COMPUTED_VALUE"""),32600.0)</f>
        <v>32600</v>
      </c>
      <c r="I887" s="7">
        <f>IFERROR(__xludf.DUMMYFUNCTION("""COMPUTED_VALUE"""),44831.0)</f>
        <v>44831</v>
      </c>
      <c r="J887" s="7">
        <f>IFERROR(__xludf.DUMMYFUNCTION("""COMPUTED_VALUE"""),44847.0)</f>
        <v>44847</v>
      </c>
      <c r="K887" s="5" t="str">
        <f>IFERROR(__xludf.DUMMYFUNCTION("""COMPUTED_VALUE"""),"high-income")</f>
        <v>high-income</v>
      </c>
      <c r="L887" s="5" t="str">
        <f>IFERROR(__xludf.DUMMYFUNCTION("""COMPUTED_VALUE"""),"Malta")</f>
        <v>Malta</v>
      </c>
      <c r="M887" s="5" t="str">
        <f>IFERROR(__xludf.DUMMYFUNCTION("""COMPUTED_VALUE"""),"Europe &amp; Central Asia")</f>
        <v>Europe &amp; Central Asia</v>
      </c>
      <c r="N887" s="5" t="str">
        <f>IFERROR(__xludf.DUMMYFUNCTION("""COMPUTED_VALUE"""),"Western Europe and Others")</f>
        <v>Western Europe and Others</v>
      </c>
      <c r="O887" s="5" t="str">
        <f>IFERROR(__xludf.DUMMYFUNCTION("""COMPUTED_VALUE"""),"developed")</f>
        <v>developed</v>
      </c>
      <c r="P887" s="5"/>
      <c r="Q887" s="5"/>
    </row>
    <row r="888">
      <c r="A888" s="5" t="str">
        <f>IFERROR(__xludf.DUMMYFUNCTION("""COMPUTED_VALUE"""),"Outbound +")</f>
        <v>Outbound +</v>
      </c>
      <c r="B888" s="5">
        <f>IFERROR(__xludf.DUMMYFUNCTION("""COMPUTED_VALUE"""),226.0)</f>
        <v>226</v>
      </c>
      <c r="C888" s="5" t="str">
        <f>IFERROR(__xludf.DUMMYFUNCTION("""COMPUTED_VALUE"""),"MARAN EXCELLENCE")</f>
        <v>MARAN EXCELLENCE</v>
      </c>
      <c r="D888" s="5">
        <f>IFERROR(__xludf.DUMMYFUNCTION("""COMPUTED_VALUE"""),9703241.0)</f>
        <v>9703241</v>
      </c>
      <c r="E888" s="5" t="str">
        <f>IFERROR(__xludf.DUMMYFUNCTION("""COMPUTED_VALUE"""),"Yuzhny/Pivdennyi")</f>
        <v>Yuzhny/Pivdennyi</v>
      </c>
      <c r="F888" s="5" t="str">
        <f>IFERROR(__xludf.DUMMYFUNCTION("""COMPUTED_VALUE"""),"Spain")</f>
        <v>Spain</v>
      </c>
      <c r="G888" s="5" t="str">
        <f>IFERROR(__xludf.DUMMYFUNCTION("""COMPUTED_VALUE"""),"Corn")</f>
        <v>Corn</v>
      </c>
      <c r="H888" s="6">
        <f>IFERROR(__xludf.DUMMYFUNCTION("""COMPUTED_VALUE"""),16000.0)</f>
        <v>16000</v>
      </c>
      <c r="I888" s="7">
        <f>IFERROR(__xludf.DUMMYFUNCTION("""COMPUTED_VALUE"""),44831.0)</f>
        <v>44831</v>
      </c>
      <c r="J888" s="7">
        <f>IFERROR(__xludf.DUMMYFUNCTION("""COMPUTED_VALUE"""),44847.0)</f>
        <v>44847</v>
      </c>
      <c r="K888" s="5" t="str">
        <f>IFERROR(__xludf.DUMMYFUNCTION("""COMPUTED_VALUE"""),"high-income")</f>
        <v>high-income</v>
      </c>
      <c r="L888" s="5" t="str">
        <f>IFERROR(__xludf.DUMMYFUNCTION("""COMPUTED_VALUE"""),"Malta")</f>
        <v>Malta</v>
      </c>
      <c r="M888" s="5" t="str">
        <f>IFERROR(__xludf.DUMMYFUNCTION("""COMPUTED_VALUE"""),"Europe &amp; Central Asia")</f>
        <v>Europe &amp; Central Asia</v>
      </c>
      <c r="N888" s="5" t="str">
        <f>IFERROR(__xludf.DUMMYFUNCTION("""COMPUTED_VALUE"""),"Western Europe and Others")</f>
        <v>Western Europe and Others</v>
      </c>
      <c r="O888" s="5" t="str">
        <f>IFERROR(__xludf.DUMMYFUNCTION("""COMPUTED_VALUE"""),"developed")</f>
        <v>developed</v>
      </c>
      <c r="P888" s="5"/>
      <c r="Q888" s="5"/>
    </row>
    <row r="889">
      <c r="A889" s="5" t="str">
        <f>IFERROR(__xludf.DUMMYFUNCTION("""COMPUTED_VALUE"""),"Outbound")</f>
        <v>Outbound</v>
      </c>
      <c r="B889" s="5">
        <f>IFERROR(__xludf.DUMMYFUNCTION("""COMPUTED_VALUE"""),225.0)</f>
        <v>225</v>
      </c>
      <c r="C889" s="5" t="str">
        <f>IFERROR(__xludf.DUMMYFUNCTION("""COMPUTED_VALUE"""),"LEADER M")</f>
        <v>LEADER M</v>
      </c>
      <c r="D889" s="5">
        <f>IFERROR(__xludf.DUMMYFUNCTION("""COMPUTED_VALUE"""),9217797.0)</f>
        <v>9217797</v>
      </c>
      <c r="E889" s="5" t="str">
        <f>IFERROR(__xludf.DUMMYFUNCTION("""COMPUTED_VALUE"""),"Yuzhny/Pivdennyi")</f>
        <v>Yuzhny/Pivdennyi</v>
      </c>
      <c r="F889" s="5" t="str">
        <f>IFERROR(__xludf.DUMMYFUNCTION("""COMPUTED_VALUE"""),"Bulgaria")</f>
        <v>Bulgaria</v>
      </c>
      <c r="G889" s="5" t="str">
        <f>IFERROR(__xludf.DUMMYFUNCTION("""COMPUTED_VALUE"""),"Sunflower pellets")</f>
        <v>Sunflower pellets</v>
      </c>
      <c r="H889" s="6">
        <f>IFERROR(__xludf.DUMMYFUNCTION("""COMPUTED_VALUE"""),8800.0)</f>
        <v>8800</v>
      </c>
      <c r="I889" s="7">
        <f>IFERROR(__xludf.DUMMYFUNCTION("""COMPUTED_VALUE"""),44831.0)</f>
        <v>44831</v>
      </c>
      <c r="J889" s="7">
        <f>IFERROR(__xludf.DUMMYFUNCTION("""COMPUTED_VALUE"""),44848.0)</f>
        <v>44848</v>
      </c>
      <c r="K889" s="5" t="str">
        <f>IFERROR(__xludf.DUMMYFUNCTION("""COMPUTED_VALUE"""),"upper-middle-income")</f>
        <v>upper-middle-income</v>
      </c>
      <c r="L889" s="5" t="str">
        <f>IFERROR(__xludf.DUMMYFUNCTION("""COMPUTED_VALUE"""),"Barbados")</f>
        <v>Barbados</v>
      </c>
      <c r="M889" s="5" t="str">
        <f>IFERROR(__xludf.DUMMYFUNCTION("""COMPUTED_VALUE"""),"Europe &amp; Central Asia")</f>
        <v>Europe &amp; Central Asia</v>
      </c>
      <c r="N889" s="5" t="str">
        <f>IFERROR(__xludf.DUMMYFUNCTION("""COMPUTED_VALUE"""),"Eastern Europe")</f>
        <v>Eastern Europe</v>
      </c>
      <c r="O889" s="5" t="str">
        <f>IFERROR(__xludf.DUMMYFUNCTION("""COMPUTED_VALUE"""),"developed")</f>
        <v>developed</v>
      </c>
      <c r="P889" s="5"/>
      <c r="Q889" s="5"/>
    </row>
    <row r="890">
      <c r="A890" s="5" t="str">
        <f>IFERROR(__xludf.DUMMYFUNCTION("""COMPUTED_VALUE"""),"Outbound")</f>
        <v>Outbound</v>
      </c>
      <c r="B890" s="5">
        <f>IFERROR(__xludf.DUMMYFUNCTION("""COMPUTED_VALUE"""),224.0)</f>
        <v>224</v>
      </c>
      <c r="C890" s="5" t="str">
        <f>IFERROR(__xludf.DUMMYFUNCTION("""COMPUTED_VALUE"""),"IRENE MADIAS")</f>
        <v>IRENE MADIAS</v>
      </c>
      <c r="D890" s="5">
        <f>IFERROR(__xludf.DUMMYFUNCTION("""COMPUTED_VALUE"""),9567154.0)</f>
        <v>9567154</v>
      </c>
      <c r="E890" s="5" t="str">
        <f>IFERROR(__xludf.DUMMYFUNCTION("""COMPUTED_VALUE"""),"Yuzhny/Pivdennyi")</f>
        <v>Yuzhny/Pivdennyi</v>
      </c>
      <c r="F890" s="5" t="str">
        <f>IFERROR(__xludf.DUMMYFUNCTION("""COMPUTED_VALUE"""),"Republic of Korea")</f>
        <v>Republic of Korea</v>
      </c>
      <c r="G890" s="5" t="str">
        <f>IFERROR(__xludf.DUMMYFUNCTION("""COMPUTED_VALUE"""),"Corn")</f>
        <v>Corn</v>
      </c>
      <c r="H890" s="6">
        <f>IFERROR(__xludf.DUMMYFUNCTION("""COMPUTED_VALUE"""),60000.0)</f>
        <v>60000</v>
      </c>
      <c r="I890" s="7">
        <f>IFERROR(__xludf.DUMMYFUNCTION("""COMPUTED_VALUE"""),44831.0)</f>
        <v>44831</v>
      </c>
      <c r="J890" s="7">
        <f>IFERROR(__xludf.DUMMYFUNCTION("""COMPUTED_VALUE"""),44848.0)</f>
        <v>44848</v>
      </c>
      <c r="K890" s="5" t="str">
        <f>IFERROR(__xludf.DUMMYFUNCTION("""COMPUTED_VALUE"""),"high-income")</f>
        <v>high-income</v>
      </c>
      <c r="L890" s="5" t="str">
        <f>IFERROR(__xludf.DUMMYFUNCTION("""COMPUTED_VALUE"""),"Liberia")</f>
        <v>Liberia</v>
      </c>
      <c r="M890" s="5" t="str">
        <f>IFERROR(__xludf.DUMMYFUNCTION("""COMPUTED_VALUE"""),"East Asia &amp; Pacific")</f>
        <v>East Asia &amp; Pacific</v>
      </c>
      <c r="N890" s="5" t="str">
        <f>IFERROR(__xludf.DUMMYFUNCTION("""COMPUTED_VALUE"""),"Asia-Pacific")</f>
        <v>Asia-Pacific</v>
      </c>
      <c r="O890" s="5" t="str">
        <f>IFERROR(__xludf.DUMMYFUNCTION("""COMPUTED_VALUE"""),"developed")</f>
        <v>developed</v>
      </c>
      <c r="P890" s="5"/>
      <c r="Q890" s="5"/>
    </row>
    <row r="891">
      <c r="A891" s="5" t="str">
        <f>IFERROR(__xludf.DUMMYFUNCTION("""COMPUTED_VALUE"""),"Outbound")</f>
        <v>Outbound</v>
      </c>
      <c r="B891" s="5">
        <f>IFERROR(__xludf.DUMMYFUNCTION("""COMPUTED_VALUE"""),223.0)</f>
        <v>223</v>
      </c>
      <c r="C891" s="5" t="str">
        <f>IFERROR(__xludf.DUMMYFUNCTION("""COMPUTED_VALUE"""),"CHIOS SUNRISE")</f>
        <v>CHIOS SUNRISE</v>
      </c>
      <c r="D891" s="5">
        <f>IFERROR(__xludf.DUMMYFUNCTION("""COMPUTED_VALUE"""),9639907.0)</f>
        <v>9639907</v>
      </c>
      <c r="E891" s="5" t="str">
        <f>IFERROR(__xludf.DUMMYFUNCTION("""COMPUTED_VALUE"""),"Odesa")</f>
        <v>Odesa</v>
      </c>
      <c r="F891" s="5" t="str">
        <f>IFERROR(__xludf.DUMMYFUNCTION("""COMPUTED_VALUE"""),"Spain")</f>
        <v>Spain</v>
      </c>
      <c r="G891" s="5" t="str">
        <f>IFERROR(__xludf.DUMMYFUNCTION("""COMPUTED_VALUE"""),"Wheat")</f>
        <v>Wheat</v>
      </c>
      <c r="H891" s="6">
        <f>IFERROR(__xludf.DUMMYFUNCTION("""COMPUTED_VALUE"""),11000.0)</f>
        <v>11000</v>
      </c>
      <c r="I891" s="7">
        <f>IFERROR(__xludf.DUMMYFUNCTION("""COMPUTED_VALUE"""),44831.0)</f>
        <v>44831</v>
      </c>
      <c r="J891" s="7">
        <f>IFERROR(__xludf.DUMMYFUNCTION("""COMPUTED_VALUE"""),44845.0)</f>
        <v>44845</v>
      </c>
      <c r="K891" s="5" t="str">
        <f>IFERROR(__xludf.DUMMYFUNCTION("""COMPUTED_VALUE"""),"high-income")</f>
        <v>high-income</v>
      </c>
      <c r="L891" s="5" t="str">
        <f>IFERROR(__xludf.DUMMYFUNCTION("""COMPUTED_VALUE"""),"Marshall Islands")</f>
        <v>Marshall Islands</v>
      </c>
      <c r="M891" s="5" t="str">
        <f>IFERROR(__xludf.DUMMYFUNCTION("""COMPUTED_VALUE"""),"Europe &amp; Central Asia")</f>
        <v>Europe &amp; Central Asia</v>
      </c>
      <c r="N891" s="5" t="str">
        <f>IFERROR(__xludf.DUMMYFUNCTION("""COMPUTED_VALUE"""),"Western Europe and Others")</f>
        <v>Western Europe and Others</v>
      </c>
      <c r="O891" s="5" t="str">
        <f>IFERROR(__xludf.DUMMYFUNCTION("""COMPUTED_VALUE"""),"developed")</f>
        <v>developed</v>
      </c>
      <c r="P891" s="5"/>
      <c r="Q891" s="5"/>
    </row>
    <row r="892">
      <c r="A892" s="5" t="str">
        <f>IFERROR(__xludf.DUMMYFUNCTION("""COMPUTED_VALUE"""),"Outbound +")</f>
        <v>Outbound +</v>
      </c>
      <c r="B892" s="5">
        <f>IFERROR(__xludf.DUMMYFUNCTION("""COMPUTED_VALUE"""),223.0)</f>
        <v>223</v>
      </c>
      <c r="C892" s="5" t="str">
        <f>IFERROR(__xludf.DUMMYFUNCTION("""COMPUTED_VALUE"""),"CHIOS SUNRISE")</f>
        <v>CHIOS SUNRISE</v>
      </c>
      <c r="D892" s="5">
        <f>IFERROR(__xludf.DUMMYFUNCTION("""COMPUTED_VALUE"""),9639907.0)</f>
        <v>9639907</v>
      </c>
      <c r="E892" s="5" t="str">
        <f>IFERROR(__xludf.DUMMYFUNCTION("""COMPUTED_VALUE"""),"Odesa")</f>
        <v>Odesa</v>
      </c>
      <c r="F892" s="5" t="str">
        <f>IFERROR(__xludf.DUMMYFUNCTION("""COMPUTED_VALUE"""),"Spain")</f>
        <v>Spain</v>
      </c>
      <c r="G892" s="5" t="str">
        <f>IFERROR(__xludf.DUMMYFUNCTION("""COMPUTED_VALUE"""),"Corn")</f>
        <v>Corn</v>
      </c>
      <c r="H892" s="6">
        <f>IFERROR(__xludf.DUMMYFUNCTION("""COMPUTED_VALUE"""),42600.0)</f>
        <v>42600</v>
      </c>
      <c r="I892" s="7">
        <f>IFERROR(__xludf.DUMMYFUNCTION("""COMPUTED_VALUE"""),44831.0)</f>
        <v>44831</v>
      </c>
      <c r="J892" s="7">
        <f>IFERROR(__xludf.DUMMYFUNCTION("""COMPUTED_VALUE"""),44845.0)</f>
        <v>44845</v>
      </c>
      <c r="K892" s="5" t="str">
        <f>IFERROR(__xludf.DUMMYFUNCTION("""COMPUTED_VALUE"""),"high-income")</f>
        <v>high-income</v>
      </c>
      <c r="L892" s="5" t="str">
        <f>IFERROR(__xludf.DUMMYFUNCTION("""COMPUTED_VALUE"""),"Marshall Islands")</f>
        <v>Marshall Islands</v>
      </c>
      <c r="M892" s="5" t="str">
        <f>IFERROR(__xludf.DUMMYFUNCTION("""COMPUTED_VALUE"""),"Europe &amp; Central Asia")</f>
        <v>Europe &amp; Central Asia</v>
      </c>
      <c r="N892" s="5" t="str">
        <f>IFERROR(__xludf.DUMMYFUNCTION("""COMPUTED_VALUE"""),"Western Europe and Others")</f>
        <v>Western Europe and Others</v>
      </c>
      <c r="O892" s="5" t="str">
        <f>IFERROR(__xludf.DUMMYFUNCTION("""COMPUTED_VALUE"""),"developed")</f>
        <v>developed</v>
      </c>
      <c r="P892" s="5"/>
      <c r="Q892" s="5"/>
    </row>
    <row r="893">
      <c r="A893" s="5" t="str">
        <f>IFERROR(__xludf.DUMMYFUNCTION("""COMPUTED_VALUE"""),"Outbound")</f>
        <v>Outbound</v>
      </c>
      <c r="B893" s="5">
        <f>IFERROR(__xludf.DUMMYFUNCTION("""COMPUTED_VALUE"""),222.0)</f>
        <v>222</v>
      </c>
      <c r="C893" s="5" t="str">
        <f>IFERROR(__xludf.DUMMYFUNCTION("""COMPUTED_VALUE"""),"USICHEM")</f>
        <v>USICHEM</v>
      </c>
      <c r="D893" s="5">
        <f>IFERROR(__xludf.DUMMYFUNCTION("""COMPUTED_VALUE"""),9344344.0)</f>
        <v>9344344</v>
      </c>
      <c r="E893" s="5" t="str">
        <f>IFERROR(__xludf.DUMMYFUNCTION("""COMPUTED_VALUE"""),"Odesa")</f>
        <v>Odesa</v>
      </c>
      <c r="F893" s="5" t="str">
        <f>IFERROR(__xludf.DUMMYFUNCTION("""COMPUTED_VALUE"""),"Spain")</f>
        <v>Spain</v>
      </c>
      <c r="G893" s="5" t="str">
        <f>IFERROR(__xludf.DUMMYFUNCTION("""COMPUTED_VALUE"""),"Sunflower oil")</f>
        <v>Sunflower oil</v>
      </c>
      <c r="H893" s="6">
        <f>IFERROR(__xludf.DUMMYFUNCTION("""COMPUTED_VALUE"""),6600.0)</f>
        <v>6600</v>
      </c>
      <c r="I893" s="7">
        <f>IFERROR(__xludf.DUMMYFUNCTION("""COMPUTED_VALUE"""),44830.0)</f>
        <v>44830</v>
      </c>
      <c r="J893" s="7">
        <f>IFERROR(__xludf.DUMMYFUNCTION("""COMPUTED_VALUE"""),44844.0)</f>
        <v>44844</v>
      </c>
      <c r="K893" s="5" t="str">
        <f>IFERROR(__xludf.DUMMYFUNCTION("""COMPUTED_VALUE"""),"high-income")</f>
        <v>high-income</v>
      </c>
      <c r="L893" s="5" t="str">
        <f>IFERROR(__xludf.DUMMYFUNCTION("""COMPUTED_VALUE"""),"Malta")</f>
        <v>Malta</v>
      </c>
      <c r="M893" s="5" t="str">
        <f>IFERROR(__xludf.DUMMYFUNCTION("""COMPUTED_VALUE"""),"Europe &amp; Central Asia")</f>
        <v>Europe &amp; Central Asia</v>
      </c>
      <c r="N893" s="5" t="str">
        <f>IFERROR(__xludf.DUMMYFUNCTION("""COMPUTED_VALUE"""),"Western Europe and Others")</f>
        <v>Western Europe and Others</v>
      </c>
      <c r="O893" s="5" t="str">
        <f>IFERROR(__xludf.DUMMYFUNCTION("""COMPUTED_VALUE"""),"developed")</f>
        <v>developed</v>
      </c>
      <c r="P893" s="5"/>
      <c r="Q893" s="5"/>
    </row>
    <row r="894">
      <c r="A894" s="5" t="str">
        <f>IFERROR(__xludf.DUMMYFUNCTION("""COMPUTED_VALUE"""),"Outbound")</f>
        <v>Outbound</v>
      </c>
      <c r="B894" s="5">
        <f>IFERROR(__xludf.DUMMYFUNCTION("""COMPUTED_VALUE"""),221.0)</f>
        <v>221</v>
      </c>
      <c r="C894" s="5" t="str">
        <f>IFERROR(__xludf.DUMMYFUNCTION("""COMPUTED_VALUE"""),"NEW FAITH")</f>
        <v>NEW FAITH</v>
      </c>
      <c r="D894" s="5">
        <f>IFERROR(__xludf.DUMMYFUNCTION("""COMPUTED_VALUE"""),9191034.0)</f>
        <v>9191034</v>
      </c>
      <c r="E894" s="5" t="str">
        <f>IFERROR(__xludf.DUMMYFUNCTION("""COMPUTED_VALUE"""),"Odesa")</f>
        <v>Odesa</v>
      </c>
      <c r="F894" s="5" t="str">
        <f>IFERROR(__xludf.DUMMYFUNCTION("""COMPUTED_VALUE"""),"Türkiye")</f>
        <v>Türkiye</v>
      </c>
      <c r="G894" s="5" t="str">
        <f>IFERROR(__xludf.DUMMYFUNCTION("""COMPUTED_VALUE"""),"Corn")</f>
        <v>Corn</v>
      </c>
      <c r="H894" s="6">
        <f>IFERROR(__xludf.DUMMYFUNCTION("""COMPUTED_VALUE"""),28193.0)</f>
        <v>28193</v>
      </c>
      <c r="I894" s="7">
        <f>IFERROR(__xludf.DUMMYFUNCTION("""COMPUTED_VALUE"""),44830.0)</f>
        <v>44830</v>
      </c>
      <c r="J894" s="7">
        <f>IFERROR(__xludf.DUMMYFUNCTION("""COMPUTED_VALUE"""),44844.0)</f>
        <v>44844</v>
      </c>
      <c r="K894" s="5" t="str">
        <f>IFERROR(__xludf.DUMMYFUNCTION("""COMPUTED_VALUE"""),"upper-middle-income")</f>
        <v>upper-middle-income</v>
      </c>
      <c r="L894" s="5" t="str">
        <f>IFERROR(__xludf.DUMMYFUNCTION("""COMPUTED_VALUE"""),"Belize")</f>
        <v>Belize</v>
      </c>
      <c r="M894" s="5" t="str">
        <f>IFERROR(__xludf.DUMMYFUNCTION("""COMPUTED_VALUE"""),"Europe &amp; Central Asia")</f>
        <v>Europe &amp; Central Asia</v>
      </c>
      <c r="N894" s="5" t="str">
        <f>IFERROR(__xludf.DUMMYFUNCTION("""COMPUTED_VALUE"""),"Asia-Pacific")</f>
        <v>Asia-Pacific</v>
      </c>
      <c r="O894" s="5" t="str">
        <f>IFERROR(__xludf.DUMMYFUNCTION("""COMPUTED_VALUE"""),"developing")</f>
        <v>developing</v>
      </c>
      <c r="P894" s="5"/>
      <c r="Q894" s="5"/>
    </row>
    <row r="895">
      <c r="A895" s="5" t="str">
        <f>IFERROR(__xludf.DUMMYFUNCTION("""COMPUTED_VALUE"""),"Outbound")</f>
        <v>Outbound</v>
      </c>
      <c r="B895" s="5">
        <f>IFERROR(__xludf.DUMMYFUNCTION("""COMPUTED_VALUE"""),220.0)</f>
        <v>220</v>
      </c>
      <c r="C895" s="5" t="str">
        <f>IFERROR(__xludf.DUMMYFUNCTION("""COMPUTED_VALUE"""),"MAINLAND")</f>
        <v>MAINLAND</v>
      </c>
      <c r="D895" s="5">
        <f>IFERROR(__xludf.DUMMYFUNCTION("""COMPUTED_VALUE"""),9431056.0)</f>
        <v>9431056</v>
      </c>
      <c r="E895" s="5" t="str">
        <f>IFERROR(__xludf.DUMMYFUNCTION("""COMPUTED_VALUE"""),"Odesa")</f>
        <v>Odesa</v>
      </c>
      <c r="F895" s="5" t="str">
        <f>IFERROR(__xludf.DUMMYFUNCTION("""COMPUTED_VALUE"""),"Türkiye")</f>
        <v>Türkiye</v>
      </c>
      <c r="G895" s="5" t="str">
        <f>IFERROR(__xludf.DUMMYFUNCTION("""COMPUTED_VALUE"""),"Sunflower oil")</f>
        <v>Sunflower oil</v>
      </c>
      <c r="H895" s="6">
        <f>IFERROR(__xludf.DUMMYFUNCTION("""COMPUTED_VALUE"""),7250.0)</f>
        <v>7250</v>
      </c>
      <c r="I895" s="7">
        <f>IFERROR(__xludf.DUMMYFUNCTION("""COMPUTED_VALUE"""),44830.0)</f>
        <v>44830</v>
      </c>
      <c r="J895" s="7">
        <f>IFERROR(__xludf.DUMMYFUNCTION("""COMPUTED_VALUE"""),44843.0)</f>
        <v>44843</v>
      </c>
      <c r="K895" s="5" t="str">
        <f>IFERROR(__xludf.DUMMYFUNCTION("""COMPUTED_VALUE"""),"upper-middle-income")</f>
        <v>upper-middle-income</v>
      </c>
      <c r="L895" s="5" t="str">
        <f>IFERROR(__xludf.DUMMYFUNCTION("""COMPUTED_VALUE"""),"Malta")</f>
        <v>Malta</v>
      </c>
      <c r="M895" s="5" t="str">
        <f>IFERROR(__xludf.DUMMYFUNCTION("""COMPUTED_VALUE"""),"Europe &amp; Central Asia")</f>
        <v>Europe &amp; Central Asia</v>
      </c>
      <c r="N895" s="5" t="str">
        <f>IFERROR(__xludf.DUMMYFUNCTION("""COMPUTED_VALUE"""),"Asia-Pacific")</f>
        <v>Asia-Pacific</v>
      </c>
      <c r="O895" s="5" t="str">
        <f>IFERROR(__xludf.DUMMYFUNCTION("""COMPUTED_VALUE"""),"developing")</f>
        <v>developing</v>
      </c>
      <c r="P895" s="5"/>
      <c r="Q895" s="5"/>
    </row>
    <row r="896">
      <c r="A896" s="5" t="str">
        <f>IFERROR(__xludf.DUMMYFUNCTION("""COMPUTED_VALUE"""),"Outbound")</f>
        <v>Outbound</v>
      </c>
      <c r="B896" s="5">
        <f>IFERROR(__xludf.DUMMYFUNCTION("""COMPUTED_VALUE"""),219.0)</f>
        <v>219</v>
      </c>
      <c r="C896" s="5" t="str">
        <f>IFERROR(__xludf.DUMMYFUNCTION("""COMPUTED_VALUE"""),"KARTERIA")</f>
        <v>KARTERIA</v>
      </c>
      <c r="D896" s="5">
        <f>IFERROR(__xludf.DUMMYFUNCTION("""COMPUTED_VALUE"""),9236092.0)</f>
        <v>9236092</v>
      </c>
      <c r="E896" s="5" t="str">
        <f>IFERROR(__xludf.DUMMYFUNCTION("""COMPUTED_VALUE"""),"Yuzhny/Pivdennyi")</f>
        <v>Yuzhny/Pivdennyi</v>
      </c>
      <c r="F896" s="5" t="str">
        <f>IFERROR(__xludf.DUMMYFUNCTION("""COMPUTED_VALUE"""),"The Netherlands")</f>
        <v>The Netherlands</v>
      </c>
      <c r="G896" s="5" t="str">
        <f>IFERROR(__xludf.DUMMYFUNCTION("""COMPUTED_VALUE"""),"Corn")</f>
        <v>Corn</v>
      </c>
      <c r="H896" s="6">
        <f>IFERROR(__xludf.DUMMYFUNCTION("""COMPUTED_VALUE"""),46130.0)</f>
        <v>46130</v>
      </c>
      <c r="I896" s="7">
        <f>IFERROR(__xludf.DUMMYFUNCTION("""COMPUTED_VALUE"""),44830.0)</f>
        <v>44830</v>
      </c>
      <c r="J896" s="7">
        <f>IFERROR(__xludf.DUMMYFUNCTION("""COMPUTED_VALUE"""),44845.0)</f>
        <v>44845</v>
      </c>
      <c r="K896" s="5" t="str">
        <f>IFERROR(__xludf.DUMMYFUNCTION("""COMPUTED_VALUE"""),"high-income")</f>
        <v>high-income</v>
      </c>
      <c r="L896" s="5" t="str">
        <f>IFERROR(__xludf.DUMMYFUNCTION("""COMPUTED_VALUE"""),"Malta")</f>
        <v>Malta</v>
      </c>
      <c r="M896" s="5" t="str">
        <f>IFERROR(__xludf.DUMMYFUNCTION("""COMPUTED_VALUE"""),"Europe &amp; Central Asia")</f>
        <v>Europe &amp; Central Asia</v>
      </c>
      <c r="N896" s="5" t="str">
        <f>IFERROR(__xludf.DUMMYFUNCTION("""COMPUTED_VALUE"""),"Western Europe and Others")</f>
        <v>Western Europe and Others</v>
      </c>
      <c r="O896" s="5" t="str">
        <f>IFERROR(__xludf.DUMMYFUNCTION("""COMPUTED_VALUE"""),"developed")</f>
        <v>developed</v>
      </c>
      <c r="P896" s="5"/>
      <c r="Q896" s="5"/>
    </row>
    <row r="897">
      <c r="A897" s="5" t="str">
        <f>IFERROR(__xludf.DUMMYFUNCTION("""COMPUTED_VALUE"""),"Outbound")</f>
        <v>Outbound</v>
      </c>
      <c r="B897" s="5">
        <f>IFERROR(__xludf.DUMMYFUNCTION("""COMPUTED_VALUE"""),218.0)</f>
        <v>218</v>
      </c>
      <c r="C897" s="5" t="str">
        <f>IFERROR(__xludf.DUMMYFUNCTION("""COMPUTED_VALUE"""),"SUPER MARTINELLI")</f>
        <v>SUPER MARTINELLI</v>
      </c>
      <c r="D897" s="5">
        <f>IFERROR(__xludf.DUMMYFUNCTION("""COMPUTED_VALUE"""),9542831.0)</f>
        <v>9542831</v>
      </c>
      <c r="E897" s="5" t="str">
        <f>IFERROR(__xludf.DUMMYFUNCTION("""COMPUTED_VALUE"""),"Chornomorsk")</f>
        <v>Chornomorsk</v>
      </c>
      <c r="F897" s="5" t="str">
        <f>IFERROR(__xludf.DUMMYFUNCTION("""COMPUTED_VALUE"""),"Algeria")</f>
        <v>Algeria</v>
      </c>
      <c r="G897" s="5" t="str">
        <f>IFERROR(__xludf.DUMMYFUNCTION("""COMPUTED_VALUE"""),"Wheat")</f>
        <v>Wheat</v>
      </c>
      <c r="H897" s="6">
        <f>IFERROR(__xludf.DUMMYFUNCTION("""COMPUTED_VALUE"""),31500.0)</f>
        <v>31500</v>
      </c>
      <c r="I897" s="7">
        <f>IFERROR(__xludf.DUMMYFUNCTION("""COMPUTED_VALUE"""),44829.0)</f>
        <v>44829</v>
      </c>
      <c r="J897" s="7">
        <f>IFERROR(__xludf.DUMMYFUNCTION("""COMPUTED_VALUE"""),44841.0)</f>
        <v>44841</v>
      </c>
      <c r="K897" s="5" t="str">
        <f>IFERROR(__xludf.DUMMYFUNCTION("""COMPUTED_VALUE"""),"lower-middle income")</f>
        <v>lower-middle income</v>
      </c>
      <c r="L897" s="5" t="str">
        <f>IFERROR(__xludf.DUMMYFUNCTION("""COMPUTED_VALUE"""),"Barbados")</f>
        <v>Barbados</v>
      </c>
      <c r="M897" s="5" t="str">
        <f>IFERROR(__xludf.DUMMYFUNCTION("""COMPUTED_VALUE"""),"Middle East &amp; North Africa")</f>
        <v>Middle East &amp; North Africa</v>
      </c>
      <c r="N897" s="5" t="str">
        <f>IFERROR(__xludf.DUMMYFUNCTION("""COMPUTED_VALUE"""),"Africa")</f>
        <v>Africa</v>
      </c>
      <c r="O897" s="5" t="str">
        <f>IFERROR(__xludf.DUMMYFUNCTION("""COMPUTED_VALUE"""),"developing")</f>
        <v>developing</v>
      </c>
      <c r="P897" s="5"/>
      <c r="Q897" s="5"/>
    </row>
    <row r="898">
      <c r="A898" s="5" t="str">
        <f>IFERROR(__xludf.DUMMYFUNCTION("""COMPUTED_VALUE"""),"Outbound")</f>
        <v>Outbound</v>
      </c>
      <c r="B898" s="5">
        <f>IFERROR(__xludf.DUMMYFUNCTION("""COMPUTED_VALUE"""),217.0)</f>
        <v>217</v>
      </c>
      <c r="C898" s="5" t="str">
        <f>IFERROR(__xludf.DUMMYFUNCTION("""COMPUTED_VALUE"""),"STELLAR LADY")</f>
        <v>STELLAR LADY</v>
      </c>
      <c r="D898" s="5">
        <f>IFERROR(__xludf.DUMMYFUNCTION("""COMPUTED_VALUE"""),9574004.0)</f>
        <v>9574004</v>
      </c>
      <c r="E898" s="5" t="str">
        <f>IFERROR(__xludf.DUMMYFUNCTION("""COMPUTED_VALUE"""),"Chornomorsk")</f>
        <v>Chornomorsk</v>
      </c>
      <c r="F898" s="5" t="str">
        <f>IFERROR(__xludf.DUMMYFUNCTION("""COMPUTED_VALUE"""),"Belgium")</f>
        <v>Belgium</v>
      </c>
      <c r="G898" s="5" t="str">
        <f>IFERROR(__xludf.DUMMYFUNCTION("""COMPUTED_VALUE"""),"Rapeseed")</f>
        <v>Rapeseed</v>
      </c>
      <c r="H898" s="6">
        <f>IFERROR(__xludf.DUMMYFUNCTION("""COMPUTED_VALUE"""),39763.0)</f>
        <v>39763</v>
      </c>
      <c r="I898" s="7">
        <f>IFERROR(__xludf.DUMMYFUNCTION("""COMPUTED_VALUE"""),44829.0)</f>
        <v>44829</v>
      </c>
      <c r="J898" s="7">
        <f>IFERROR(__xludf.DUMMYFUNCTION("""COMPUTED_VALUE"""),44843.0)</f>
        <v>44843</v>
      </c>
      <c r="K898" s="5" t="str">
        <f>IFERROR(__xludf.DUMMYFUNCTION("""COMPUTED_VALUE"""),"high-income")</f>
        <v>high-income</v>
      </c>
      <c r="L898" s="5" t="str">
        <f>IFERROR(__xludf.DUMMYFUNCTION("""COMPUTED_VALUE"""),"Marshall Islands")</f>
        <v>Marshall Islands</v>
      </c>
      <c r="M898" s="5" t="str">
        <f>IFERROR(__xludf.DUMMYFUNCTION("""COMPUTED_VALUE"""),"Europe &amp; Central Asia")</f>
        <v>Europe &amp; Central Asia</v>
      </c>
      <c r="N898" s="5" t="str">
        <f>IFERROR(__xludf.DUMMYFUNCTION("""COMPUTED_VALUE"""),"Western Europe and Others")</f>
        <v>Western Europe and Others</v>
      </c>
      <c r="O898" s="5" t="str">
        <f>IFERROR(__xludf.DUMMYFUNCTION("""COMPUTED_VALUE"""),"developed")</f>
        <v>developed</v>
      </c>
      <c r="P898" s="5"/>
      <c r="Q898" s="5"/>
    </row>
    <row r="899">
      <c r="A899" s="5" t="str">
        <f>IFERROR(__xludf.DUMMYFUNCTION("""COMPUTED_VALUE"""),"Outbound")</f>
        <v>Outbound</v>
      </c>
      <c r="B899" s="5">
        <f>IFERROR(__xludf.DUMMYFUNCTION("""COMPUTED_VALUE"""),216.0)</f>
        <v>216</v>
      </c>
      <c r="C899" s="5" t="str">
        <f>IFERROR(__xludf.DUMMYFUNCTION("""COMPUTED_VALUE"""),"MOONLIGHT")</f>
        <v>MOONLIGHT</v>
      </c>
      <c r="D899" s="5">
        <f>IFERROR(__xludf.DUMMYFUNCTION("""COMPUTED_VALUE"""),9536301.0)</f>
        <v>9536301</v>
      </c>
      <c r="E899" s="5" t="str">
        <f>IFERROR(__xludf.DUMMYFUNCTION("""COMPUTED_VALUE"""),"Odesa")</f>
        <v>Odesa</v>
      </c>
      <c r="F899" s="5" t="str">
        <f>IFERROR(__xludf.DUMMYFUNCTION("""COMPUTED_VALUE"""),"Georgia")</f>
        <v>Georgia</v>
      </c>
      <c r="G899" s="5" t="str">
        <f>IFERROR(__xludf.DUMMYFUNCTION("""COMPUTED_VALUE"""),"Soya beans")</f>
        <v>Soya beans</v>
      </c>
      <c r="H899" s="6">
        <f>IFERROR(__xludf.DUMMYFUNCTION("""COMPUTED_VALUE"""),6000.0)</f>
        <v>6000</v>
      </c>
      <c r="I899" s="7">
        <f>IFERROR(__xludf.DUMMYFUNCTION("""COMPUTED_VALUE"""),44829.0)</f>
        <v>44829</v>
      </c>
      <c r="J899" s="7">
        <f>IFERROR(__xludf.DUMMYFUNCTION("""COMPUTED_VALUE"""),44842.0)</f>
        <v>44842</v>
      </c>
      <c r="K899" s="5" t="str">
        <f>IFERROR(__xludf.DUMMYFUNCTION("""COMPUTED_VALUE"""),"upper-middle-income")</f>
        <v>upper-middle-income</v>
      </c>
      <c r="L899" s="5" t="str">
        <f>IFERROR(__xludf.DUMMYFUNCTION("""COMPUTED_VALUE"""),"Panama")</f>
        <v>Panama</v>
      </c>
      <c r="M899" s="5" t="str">
        <f>IFERROR(__xludf.DUMMYFUNCTION("""COMPUTED_VALUE"""),"Europe &amp; Central Asia")</f>
        <v>Europe &amp; Central Asia</v>
      </c>
      <c r="N899" s="5" t="str">
        <f>IFERROR(__xludf.DUMMYFUNCTION("""COMPUTED_VALUE"""),"Eastern Europe")</f>
        <v>Eastern Europe</v>
      </c>
      <c r="O899" s="5" t="str">
        <f>IFERROR(__xludf.DUMMYFUNCTION("""COMPUTED_VALUE"""),"developing")</f>
        <v>developing</v>
      </c>
      <c r="P899" s="5"/>
      <c r="Q899" s="5"/>
    </row>
    <row r="900">
      <c r="A900" s="5" t="str">
        <f>IFERROR(__xludf.DUMMYFUNCTION("""COMPUTED_VALUE"""),"Outbound")</f>
        <v>Outbound</v>
      </c>
      <c r="B900" s="5">
        <f>IFERROR(__xludf.DUMMYFUNCTION("""COMPUTED_VALUE"""),215.0)</f>
        <v>215</v>
      </c>
      <c r="C900" s="5" t="str">
        <f>IFERROR(__xludf.DUMMYFUNCTION("""COMPUTED_VALUE"""),"HERMES")</f>
        <v>HERMES</v>
      </c>
      <c r="D900" s="5">
        <f>IFERROR(__xludf.DUMMYFUNCTION("""COMPUTED_VALUE"""),9071052.0)</f>
        <v>9071052</v>
      </c>
      <c r="E900" s="5" t="str">
        <f>IFERROR(__xludf.DUMMYFUNCTION("""COMPUTED_VALUE"""),"Chornomorsk")</f>
        <v>Chornomorsk</v>
      </c>
      <c r="F900" s="5" t="str">
        <f>IFERROR(__xludf.DUMMYFUNCTION("""COMPUTED_VALUE"""),"Greece")</f>
        <v>Greece</v>
      </c>
      <c r="G900" s="5" t="str">
        <f>IFERROR(__xludf.DUMMYFUNCTION("""COMPUTED_VALUE"""),"Wheat")</f>
        <v>Wheat</v>
      </c>
      <c r="H900" s="6">
        <f>IFERROR(__xludf.DUMMYFUNCTION("""COMPUTED_VALUE"""),5029.0)</f>
        <v>5029</v>
      </c>
      <c r="I900" s="7">
        <f>IFERROR(__xludf.DUMMYFUNCTION("""COMPUTED_VALUE"""),44829.0)</f>
        <v>44829</v>
      </c>
      <c r="J900" s="7">
        <f>IFERROR(__xludf.DUMMYFUNCTION("""COMPUTED_VALUE"""),44842.0)</f>
        <v>44842</v>
      </c>
      <c r="K900" s="5" t="str">
        <f>IFERROR(__xludf.DUMMYFUNCTION("""COMPUTED_VALUE"""),"high-income")</f>
        <v>high-income</v>
      </c>
      <c r="L900" s="5" t="str">
        <f>IFERROR(__xludf.DUMMYFUNCTION("""COMPUTED_VALUE"""),"Palau")</f>
        <v>Palau</v>
      </c>
      <c r="M900" s="5" t="str">
        <f>IFERROR(__xludf.DUMMYFUNCTION("""COMPUTED_VALUE"""),"Europe &amp; Central Asia")</f>
        <v>Europe &amp; Central Asia</v>
      </c>
      <c r="N900" s="5" t="str">
        <f>IFERROR(__xludf.DUMMYFUNCTION("""COMPUTED_VALUE"""),"Western Europe and Others")</f>
        <v>Western Europe and Others</v>
      </c>
      <c r="O900" s="5" t="str">
        <f>IFERROR(__xludf.DUMMYFUNCTION("""COMPUTED_VALUE"""),"developed")</f>
        <v>developed</v>
      </c>
      <c r="P900" s="5"/>
      <c r="Q900" s="5"/>
    </row>
    <row r="901">
      <c r="A901" s="5" t="str">
        <f>IFERROR(__xludf.DUMMYFUNCTION("""COMPUTED_VALUE"""),"Outbound")</f>
        <v>Outbound</v>
      </c>
      <c r="B901" s="5">
        <f>IFERROR(__xludf.DUMMYFUNCTION("""COMPUTED_VALUE"""),214.0)</f>
        <v>214</v>
      </c>
      <c r="C901" s="5" t="str">
        <f>IFERROR(__xludf.DUMMYFUNCTION("""COMPUTED_VALUE"""),"CORNELIA")</f>
        <v>CORNELIA</v>
      </c>
      <c r="D901" s="5">
        <f>IFERROR(__xludf.DUMMYFUNCTION("""COMPUTED_VALUE"""),9216597.0)</f>
        <v>9216597</v>
      </c>
      <c r="E901" s="5" t="str">
        <f>IFERROR(__xludf.DUMMYFUNCTION("""COMPUTED_VALUE"""),"Chornomorsk")</f>
        <v>Chornomorsk</v>
      </c>
      <c r="F901" s="5" t="str">
        <f>IFERROR(__xludf.DUMMYFUNCTION("""COMPUTED_VALUE"""),"Tunisia")</f>
        <v>Tunisia</v>
      </c>
      <c r="G901" s="5" t="str">
        <f>IFERROR(__xludf.DUMMYFUNCTION("""COMPUTED_VALUE"""),"Wheat")</f>
        <v>Wheat</v>
      </c>
      <c r="H901" s="6">
        <f>IFERROR(__xludf.DUMMYFUNCTION("""COMPUTED_VALUE"""),23500.0)</f>
        <v>23500</v>
      </c>
      <c r="I901" s="7">
        <f>IFERROR(__xludf.DUMMYFUNCTION("""COMPUTED_VALUE"""),44829.0)</f>
        <v>44829</v>
      </c>
      <c r="J901" s="7">
        <f>IFERROR(__xludf.DUMMYFUNCTION("""COMPUTED_VALUE"""),44848.0)</f>
        <v>44848</v>
      </c>
      <c r="K901" s="5" t="str">
        <f>IFERROR(__xludf.DUMMYFUNCTION("""COMPUTED_VALUE"""),"lower-middle income")</f>
        <v>lower-middle income</v>
      </c>
      <c r="L901" s="5" t="str">
        <f>IFERROR(__xludf.DUMMYFUNCTION("""COMPUTED_VALUE"""),"Liberia")</f>
        <v>Liberia</v>
      </c>
      <c r="M901" s="5" t="str">
        <f>IFERROR(__xludf.DUMMYFUNCTION("""COMPUTED_VALUE"""),"Middle East &amp; North Africa")</f>
        <v>Middle East &amp; North Africa</v>
      </c>
      <c r="N901" s="5" t="str">
        <f>IFERROR(__xludf.DUMMYFUNCTION("""COMPUTED_VALUE"""),"Africa")</f>
        <v>Africa</v>
      </c>
      <c r="O901" s="5" t="str">
        <f>IFERROR(__xludf.DUMMYFUNCTION("""COMPUTED_VALUE"""),"developing")</f>
        <v>developing</v>
      </c>
      <c r="P901" s="5"/>
      <c r="Q901" s="5"/>
    </row>
    <row r="902">
      <c r="A902" s="5" t="str">
        <f>IFERROR(__xludf.DUMMYFUNCTION("""COMPUTED_VALUE"""),"Outbound")</f>
        <v>Outbound</v>
      </c>
      <c r="B902" s="5">
        <f>IFERROR(__xludf.DUMMYFUNCTION("""COMPUTED_VALUE"""),213.0)</f>
        <v>213</v>
      </c>
      <c r="C902" s="5" t="str">
        <f>IFERROR(__xludf.DUMMYFUNCTION("""COMPUTED_VALUE"""),"CHIOS FREEDOM")</f>
        <v>CHIOS FREEDOM</v>
      </c>
      <c r="D902" s="5">
        <f>IFERROR(__xludf.DUMMYFUNCTION("""COMPUTED_VALUE"""),9680255.0)</f>
        <v>9680255</v>
      </c>
      <c r="E902" s="5" t="str">
        <f>IFERROR(__xludf.DUMMYFUNCTION("""COMPUTED_VALUE"""),"Odesa")</f>
        <v>Odesa</v>
      </c>
      <c r="F902" s="5" t="str">
        <f>IFERROR(__xludf.DUMMYFUNCTION("""COMPUTED_VALUE"""),"The Netherlands")</f>
        <v>The Netherlands</v>
      </c>
      <c r="G902" s="5" t="str">
        <f>IFERROR(__xludf.DUMMYFUNCTION("""COMPUTED_VALUE"""),"Rapeseed")</f>
        <v>Rapeseed</v>
      </c>
      <c r="H902" s="6">
        <f>IFERROR(__xludf.DUMMYFUNCTION("""COMPUTED_VALUE"""),32700.0)</f>
        <v>32700</v>
      </c>
      <c r="I902" s="7">
        <f>IFERROR(__xludf.DUMMYFUNCTION("""COMPUTED_VALUE"""),44829.0)</f>
        <v>44829</v>
      </c>
      <c r="J902" s="7">
        <f>IFERROR(__xludf.DUMMYFUNCTION("""COMPUTED_VALUE"""),44842.0)</f>
        <v>44842</v>
      </c>
      <c r="K902" s="5" t="str">
        <f>IFERROR(__xludf.DUMMYFUNCTION("""COMPUTED_VALUE"""),"high-income")</f>
        <v>high-income</v>
      </c>
      <c r="L902" s="5" t="str">
        <f>IFERROR(__xludf.DUMMYFUNCTION("""COMPUTED_VALUE"""),"Marshall Islands")</f>
        <v>Marshall Islands</v>
      </c>
      <c r="M902" s="5" t="str">
        <f>IFERROR(__xludf.DUMMYFUNCTION("""COMPUTED_VALUE"""),"Europe &amp; Central Asia")</f>
        <v>Europe &amp; Central Asia</v>
      </c>
      <c r="N902" s="5" t="str">
        <f>IFERROR(__xludf.DUMMYFUNCTION("""COMPUTED_VALUE"""),"Western Europe and Others")</f>
        <v>Western Europe and Others</v>
      </c>
      <c r="O902" s="5" t="str">
        <f>IFERROR(__xludf.DUMMYFUNCTION("""COMPUTED_VALUE"""),"developed")</f>
        <v>developed</v>
      </c>
      <c r="P902" s="5"/>
      <c r="Q902" s="5"/>
    </row>
    <row r="903">
      <c r="A903" s="5" t="str">
        <f>IFERROR(__xludf.DUMMYFUNCTION("""COMPUTED_VALUE"""),"Outbound")</f>
        <v>Outbound</v>
      </c>
      <c r="B903" s="5">
        <f>IFERROR(__xludf.DUMMYFUNCTION("""COMPUTED_VALUE"""),212.0)</f>
        <v>212</v>
      </c>
      <c r="C903" s="5" t="str">
        <f>IFERROR(__xludf.DUMMYFUNCTION("""COMPUTED_VALUE"""),"BLUE STAR")</f>
        <v>BLUE STAR</v>
      </c>
      <c r="D903" s="5">
        <f>IFERROR(__xludf.DUMMYFUNCTION("""COMPUTED_VALUE"""),8421705.0)</f>
        <v>8421705</v>
      </c>
      <c r="E903" s="5" t="str">
        <f>IFERROR(__xludf.DUMMYFUNCTION("""COMPUTED_VALUE"""),"Chornomorsk")</f>
        <v>Chornomorsk</v>
      </c>
      <c r="F903" s="5" t="str">
        <f>IFERROR(__xludf.DUMMYFUNCTION("""COMPUTED_VALUE"""),"Türkiye")</f>
        <v>Türkiye</v>
      </c>
      <c r="G903" s="5" t="str">
        <f>IFERROR(__xludf.DUMMYFUNCTION("""COMPUTED_VALUE"""),"Mixed")</f>
        <v>Mixed</v>
      </c>
      <c r="H903" s="6">
        <f>IFERROR(__xludf.DUMMYFUNCTION("""COMPUTED_VALUE"""),2000.0)</f>
        <v>2000</v>
      </c>
      <c r="I903" s="7">
        <f>IFERROR(__xludf.DUMMYFUNCTION("""COMPUTED_VALUE"""),44829.0)</f>
        <v>44829</v>
      </c>
      <c r="J903" s="7">
        <f>IFERROR(__xludf.DUMMYFUNCTION("""COMPUTED_VALUE"""),44843.0)</f>
        <v>44843</v>
      </c>
      <c r="K903" s="5" t="str">
        <f>IFERROR(__xludf.DUMMYFUNCTION("""COMPUTED_VALUE"""),"upper-middle-income")</f>
        <v>upper-middle-income</v>
      </c>
      <c r="L903" s="5" t="str">
        <f>IFERROR(__xludf.DUMMYFUNCTION("""COMPUTED_VALUE"""),"Panama")</f>
        <v>Panama</v>
      </c>
      <c r="M903" s="5" t="str">
        <f>IFERROR(__xludf.DUMMYFUNCTION("""COMPUTED_VALUE"""),"Europe &amp; Central Asia")</f>
        <v>Europe &amp; Central Asia</v>
      </c>
      <c r="N903" s="5" t="str">
        <f>IFERROR(__xludf.DUMMYFUNCTION("""COMPUTED_VALUE"""),"Asia-Pacific")</f>
        <v>Asia-Pacific</v>
      </c>
      <c r="O903" s="5" t="str">
        <f>IFERROR(__xludf.DUMMYFUNCTION("""COMPUTED_VALUE"""),"developing")</f>
        <v>developing</v>
      </c>
      <c r="P903" s="5"/>
      <c r="Q903" s="5"/>
    </row>
    <row r="904">
      <c r="A904" s="5" t="str">
        <f>IFERROR(__xludf.DUMMYFUNCTION("""COMPUTED_VALUE"""),"Outbound")</f>
        <v>Outbound</v>
      </c>
      <c r="B904" s="5">
        <f>IFERROR(__xludf.DUMMYFUNCTION("""COMPUTED_VALUE"""),211.0)</f>
        <v>211</v>
      </c>
      <c r="C904" s="5" t="str">
        <f>IFERROR(__xludf.DUMMYFUNCTION("""COMPUTED_VALUE"""),"ATA-2")</f>
        <v>ATA-2</v>
      </c>
      <c r="D904" s="5">
        <f>IFERROR(__xludf.DUMMYFUNCTION("""COMPUTED_VALUE"""),9387669.0)</f>
        <v>9387669</v>
      </c>
      <c r="E904" s="5" t="str">
        <f>IFERROR(__xludf.DUMMYFUNCTION("""COMPUTED_VALUE"""),"Yuzhny/Pivdennyi")</f>
        <v>Yuzhny/Pivdennyi</v>
      </c>
      <c r="F904" s="5" t="str">
        <f>IFERROR(__xludf.DUMMYFUNCTION("""COMPUTED_VALUE"""),"Italy")</f>
        <v>Italy</v>
      </c>
      <c r="G904" s="5" t="str">
        <f>IFERROR(__xludf.DUMMYFUNCTION("""COMPUTED_VALUE"""),"Corn")</f>
        <v>Corn</v>
      </c>
      <c r="H904" s="6">
        <f>IFERROR(__xludf.DUMMYFUNCTION("""COMPUTED_VALUE"""),5960.0)</f>
        <v>5960</v>
      </c>
      <c r="I904" s="7">
        <f>IFERROR(__xludf.DUMMYFUNCTION("""COMPUTED_VALUE"""),44829.0)</f>
        <v>44829</v>
      </c>
      <c r="J904" s="7">
        <f>IFERROR(__xludf.DUMMYFUNCTION("""COMPUTED_VALUE"""),44847.0)</f>
        <v>44847</v>
      </c>
      <c r="K904" s="5" t="str">
        <f>IFERROR(__xludf.DUMMYFUNCTION("""COMPUTED_VALUE"""),"high-income")</f>
        <v>high-income</v>
      </c>
      <c r="L904" s="5" t="str">
        <f>IFERROR(__xludf.DUMMYFUNCTION("""COMPUTED_VALUE"""),"Vanuatu")</f>
        <v>Vanuatu</v>
      </c>
      <c r="M904" s="5" t="str">
        <f>IFERROR(__xludf.DUMMYFUNCTION("""COMPUTED_VALUE"""),"Europe &amp; Central Asia")</f>
        <v>Europe &amp; Central Asia</v>
      </c>
      <c r="N904" s="5" t="str">
        <f>IFERROR(__xludf.DUMMYFUNCTION("""COMPUTED_VALUE"""),"Western Europe and Others")</f>
        <v>Western Europe and Others</v>
      </c>
      <c r="O904" s="5" t="str">
        <f>IFERROR(__xludf.DUMMYFUNCTION("""COMPUTED_VALUE"""),"developed")</f>
        <v>developed</v>
      </c>
      <c r="P904" s="5"/>
      <c r="Q904" s="5"/>
    </row>
    <row r="905">
      <c r="A905" s="5" t="str">
        <f>IFERROR(__xludf.DUMMYFUNCTION("""COMPUTED_VALUE"""),"Outbound")</f>
        <v>Outbound</v>
      </c>
      <c r="B905" s="5">
        <f>IFERROR(__xludf.DUMMYFUNCTION("""COMPUTED_VALUE"""),210.0)</f>
        <v>210</v>
      </c>
      <c r="C905" s="5" t="str">
        <f>IFERROR(__xludf.DUMMYFUNCTION("""COMPUTED_VALUE"""),"ASPASIA LUCK")</f>
        <v>ASPASIA LUCK</v>
      </c>
      <c r="D905" s="5">
        <f>IFERROR(__xludf.DUMMYFUNCTION("""COMPUTED_VALUE"""),9223485.0)</f>
        <v>9223485</v>
      </c>
      <c r="E905" s="5" t="str">
        <f>IFERROR(__xludf.DUMMYFUNCTION("""COMPUTED_VALUE"""),"Yuzhny/Pivdennyi")</f>
        <v>Yuzhny/Pivdennyi</v>
      </c>
      <c r="F905" s="5" t="str">
        <f>IFERROR(__xludf.DUMMYFUNCTION("""COMPUTED_VALUE"""),"Spain")</f>
        <v>Spain</v>
      </c>
      <c r="G905" s="5" t="str">
        <f>IFERROR(__xludf.DUMMYFUNCTION("""COMPUTED_VALUE"""),"Corn")</f>
        <v>Corn</v>
      </c>
      <c r="H905" s="6">
        <f>IFERROR(__xludf.DUMMYFUNCTION("""COMPUTED_VALUE"""),63029.0)</f>
        <v>63029</v>
      </c>
      <c r="I905" s="7">
        <f>IFERROR(__xludf.DUMMYFUNCTION("""COMPUTED_VALUE"""),44829.0)</f>
        <v>44829</v>
      </c>
      <c r="J905" s="7">
        <f>IFERROR(__xludf.DUMMYFUNCTION("""COMPUTED_VALUE"""),44843.0)</f>
        <v>44843</v>
      </c>
      <c r="K905" s="5" t="str">
        <f>IFERROR(__xludf.DUMMYFUNCTION("""COMPUTED_VALUE"""),"high-income")</f>
        <v>high-income</v>
      </c>
      <c r="L905" s="5" t="str">
        <f>IFERROR(__xludf.DUMMYFUNCTION("""COMPUTED_VALUE"""),"Liberia")</f>
        <v>Liberia</v>
      </c>
      <c r="M905" s="5" t="str">
        <f>IFERROR(__xludf.DUMMYFUNCTION("""COMPUTED_VALUE"""),"Europe &amp; Central Asia")</f>
        <v>Europe &amp; Central Asia</v>
      </c>
      <c r="N905" s="5" t="str">
        <f>IFERROR(__xludf.DUMMYFUNCTION("""COMPUTED_VALUE"""),"Western Europe and Others")</f>
        <v>Western Europe and Others</v>
      </c>
      <c r="O905" s="5" t="str">
        <f>IFERROR(__xludf.DUMMYFUNCTION("""COMPUTED_VALUE"""),"developed")</f>
        <v>developed</v>
      </c>
      <c r="P905" s="5"/>
      <c r="Q905" s="5"/>
    </row>
    <row r="906">
      <c r="A906" s="5" t="str">
        <f>IFERROR(__xludf.DUMMYFUNCTION("""COMPUTED_VALUE"""),"Outbound")</f>
        <v>Outbound</v>
      </c>
      <c r="B906" s="5">
        <f>IFERROR(__xludf.DUMMYFUNCTION("""COMPUTED_VALUE"""),209.0)</f>
        <v>209</v>
      </c>
      <c r="C906" s="5" t="str">
        <f>IFERROR(__xludf.DUMMYFUNCTION("""COMPUTED_VALUE"""),"SAXONA")</f>
        <v>SAXONA</v>
      </c>
      <c r="D906" s="5">
        <f>IFERROR(__xludf.DUMMYFUNCTION("""COMPUTED_VALUE"""),9371024.0)</f>
        <v>9371024</v>
      </c>
      <c r="E906" s="5" t="str">
        <f>IFERROR(__xludf.DUMMYFUNCTION("""COMPUTED_VALUE"""),"Chornomorsk")</f>
        <v>Chornomorsk</v>
      </c>
      <c r="F906" s="5" t="str">
        <f>IFERROR(__xludf.DUMMYFUNCTION("""COMPUTED_VALUE"""),"Greece")</f>
        <v>Greece</v>
      </c>
      <c r="G906" s="5" t="str">
        <f>IFERROR(__xludf.DUMMYFUNCTION("""COMPUTED_VALUE"""),"Corn")</f>
        <v>Corn</v>
      </c>
      <c r="H906" s="6">
        <f>IFERROR(__xludf.DUMMYFUNCTION("""COMPUTED_VALUE"""),5000.0)</f>
        <v>5000</v>
      </c>
      <c r="I906" s="7">
        <f>IFERROR(__xludf.DUMMYFUNCTION("""COMPUTED_VALUE"""),44828.0)</f>
        <v>44828</v>
      </c>
      <c r="J906" s="7">
        <f>IFERROR(__xludf.DUMMYFUNCTION("""COMPUTED_VALUE"""),44839.0)</f>
        <v>44839</v>
      </c>
      <c r="K906" s="5" t="str">
        <f>IFERROR(__xludf.DUMMYFUNCTION("""COMPUTED_VALUE"""),"high-income")</f>
        <v>high-income</v>
      </c>
      <c r="L906" s="5" t="str">
        <f>IFERROR(__xludf.DUMMYFUNCTION("""COMPUTED_VALUE"""),"Liberia")</f>
        <v>Liberia</v>
      </c>
      <c r="M906" s="5" t="str">
        <f>IFERROR(__xludf.DUMMYFUNCTION("""COMPUTED_VALUE"""),"Europe &amp; Central Asia")</f>
        <v>Europe &amp; Central Asia</v>
      </c>
      <c r="N906" s="5" t="str">
        <f>IFERROR(__xludf.DUMMYFUNCTION("""COMPUTED_VALUE"""),"Western Europe and Others")</f>
        <v>Western Europe and Others</v>
      </c>
      <c r="O906" s="5" t="str">
        <f>IFERROR(__xludf.DUMMYFUNCTION("""COMPUTED_VALUE"""),"developed")</f>
        <v>developed</v>
      </c>
      <c r="P906" s="5"/>
      <c r="Q906" s="5"/>
    </row>
    <row r="907">
      <c r="A907" s="5" t="str">
        <f>IFERROR(__xludf.DUMMYFUNCTION("""COMPUTED_VALUE"""),"Outbound")</f>
        <v>Outbound</v>
      </c>
      <c r="B907" s="5">
        <f>IFERROR(__xludf.DUMMYFUNCTION("""COMPUTED_VALUE"""),208.0)</f>
        <v>208</v>
      </c>
      <c r="C907" s="5" t="str">
        <f>IFERROR(__xludf.DUMMYFUNCTION("""COMPUTED_VALUE"""),"MUBARIZ IBRAHIMOV")</f>
        <v>MUBARIZ IBRAHIMOV</v>
      </c>
      <c r="D907" s="5">
        <f>IFERROR(__xludf.DUMMYFUNCTION("""COMPUTED_VALUE"""),9575292.0)</f>
        <v>9575292</v>
      </c>
      <c r="E907" s="5" t="str">
        <f>IFERROR(__xludf.DUMMYFUNCTION("""COMPUTED_VALUE"""),"Odesa")</f>
        <v>Odesa</v>
      </c>
      <c r="F907" s="5" t="str">
        <f>IFERROR(__xludf.DUMMYFUNCTION("""COMPUTED_VALUE"""),"Italy")</f>
        <v>Italy</v>
      </c>
      <c r="G907" s="5" t="str">
        <f>IFERROR(__xludf.DUMMYFUNCTION("""COMPUTED_VALUE"""),"Sunflower oil")</f>
        <v>Sunflower oil</v>
      </c>
      <c r="H907" s="6">
        <f>IFERROR(__xludf.DUMMYFUNCTION("""COMPUTED_VALUE"""),6000.0)</f>
        <v>6000</v>
      </c>
      <c r="I907" s="7">
        <f>IFERROR(__xludf.DUMMYFUNCTION("""COMPUTED_VALUE"""),44828.0)</f>
        <v>44828</v>
      </c>
      <c r="J907" s="7">
        <f>IFERROR(__xludf.DUMMYFUNCTION("""COMPUTED_VALUE"""),44839.0)</f>
        <v>44839</v>
      </c>
      <c r="K907" s="5" t="str">
        <f>IFERROR(__xludf.DUMMYFUNCTION("""COMPUTED_VALUE"""),"high-income")</f>
        <v>high-income</v>
      </c>
      <c r="L907" s="5" t="str">
        <f>IFERROR(__xludf.DUMMYFUNCTION("""COMPUTED_VALUE"""),"Liberia")</f>
        <v>Liberia</v>
      </c>
      <c r="M907" s="5" t="str">
        <f>IFERROR(__xludf.DUMMYFUNCTION("""COMPUTED_VALUE"""),"Europe &amp; Central Asia")</f>
        <v>Europe &amp; Central Asia</v>
      </c>
      <c r="N907" s="5" t="str">
        <f>IFERROR(__xludf.DUMMYFUNCTION("""COMPUTED_VALUE"""),"Western Europe and Others")</f>
        <v>Western Europe and Others</v>
      </c>
      <c r="O907" s="5" t="str">
        <f>IFERROR(__xludf.DUMMYFUNCTION("""COMPUTED_VALUE"""),"developed")</f>
        <v>developed</v>
      </c>
      <c r="P907" s="5"/>
      <c r="Q907" s="5"/>
    </row>
    <row r="908">
      <c r="A908" s="5" t="str">
        <f>IFERROR(__xludf.DUMMYFUNCTION("""COMPUTED_VALUE"""),"Outbound")</f>
        <v>Outbound</v>
      </c>
      <c r="B908" s="5">
        <f>IFERROR(__xludf.DUMMYFUNCTION("""COMPUTED_VALUE"""),207.0)</f>
        <v>207</v>
      </c>
      <c r="C908" s="5" t="str">
        <f>IFERROR(__xludf.DUMMYFUNCTION("""COMPUTED_VALUE"""),"GANOSAYA")</f>
        <v>GANOSAYA</v>
      </c>
      <c r="D908" s="5">
        <f>IFERROR(__xludf.DUMMYFUNCTION("""COMPUTED_VALUE"""),9151400.0)</f>
        <v>9151400</v>
      </c>
      <c r="E908" s="5" t="str">
        <f>IFERROR(__xludf.DUMMYFUNCTION("""COMPUTED_VALUE"""),"Odesa")</f>
        <v>Odesa</v>
      </c>
      <c r="F908" s="5" t="str">
        <f>IFERROR(__xludf.DUMMYFUNCTION("""COMPUTED_VALUE"""),"Libya")</f>
        <v>Libya</v>
      </c>
      <c r="G908" s="5" t="str">
        <f>IFERROR(__xludf.DUMMYFUNCTION("""COMPUTED_VALUE"""),"Barley")</f>
        <v>Barley</v>
      </c>
      <c r="H908" s="6">
        <f>IFERROR(__xludf.DUMMYFUNCTION("""COMPUTED_VALUE"""),15000.0)</f>
        <v>15000</v>
      </c>
      <c r="I908" s="7">
        <f>IFERROR(__xludf.DUMMYFUNCTION("""COMPUTED_VALUE"""),44828.0)</f>
        <v>44828</v>
      </c>
      <c r="J908" s="7">
        <f>IFERROR(__xludf.DUMMYFUNCTION("""COMPUTED_VALUE"""),44843.0)</f>
        <v>44843</v>
      </c>
      <c r="K908" s="5" t="str">
        <f>IFERROR(__xludf.DUMMYFUNCTION("""COMPUTED_VALUE"""),"upper-middle-income")</f>
        <v>upper-middle-income</v>
      </c>
      <c r="L908" s="5" t="str">
        <f>IFERROR(__xludf.DUMMYFUNCTION("""COMPUTED_VALUE"""),"Cook Islands")</f>
        <v>Cook Islands</v>
      </c>
      <c r="M908" s="5" t="str">
        <f>IFERROR(__xludf.DUMMYFUNCTION("""COMPUTED_VALUE"""),"Middle East &amp; North Africa")</f>
        <v>Middle East &amp; North Africa</v>
      </c>
      <c r="N908" s="5" t="str">
        <f>IFERROR(__xludf.DUMMYFUNCTION("""COMPUTED_VALUE"""),"Africa")</f>
        <v>Africa</v>
      </c>
      <c r="O908" s="5" t="str">
        <f>IFERROR(__xludf.DUMMYFUNCTION("""COMPUTED_VALUE"""),"developing")</f>
        <v>developing</v>
      </c>
      <c r="P908" s="5"/>
      <c r="Q908" s="5"/>
    </row>
    <row r="909">
      <c r="A909" s="5" t="str">
        <f>IFERROR(__xludf.DUMMYFUNCTION("""COMPUTED_VALUE"""),"Outbound")</f>
        <v>Outbound</v>
      </c>
      <c r="B909" s="5">
        <f>IFERROR(__xludf.DUMMYFUNCTION("""COMPUTED_VALUE"""),206.0)</f>
        <v>206</v>
      </c>
      <c r="C909" s="5" t="str">
        <f>IFERROR(__xludf.DUMMYFUNCTION("""COMPUTED_VALUE"""),"DS SOFIE BULKER")</f>
        <v>DS SOFIE BULKER</v>
      </c>
      <c r="D909" s="5">
        <f>IFERROR(__xludf.DUMMYFUNCTION("""COMPUTED_VALUE"""),9310604.0)</f>
        <v>9310604</v>
      </c>
      <c r="E909" s="5" t="str">
        <f>IFERROR(__xludf.DUMMYFUNCTION("""COMPUTED_VALUE"""),"Odesa")</f>
        <v>Odesa</v>
      </c>
      <c r="F909" s="5" t="str">
        <f>IFERROR(__xludf.DUMMYFUNCTION("""COMPUTED_VALUE"""),"Spain")</f>
        <v>Spain</v>
      </c>
      <c r="G909" s="5" t="str">
        <f>IFERROR(__xludf.DUMMYFUNCTION("""COMPUTED_VALUE"""),"Barley")</f>
        <v>Barley</v>
      </c>
      <c r="H909" s="6">
        <f>IFERROR(__xludf.DUMMYFUNCTION("""COMPUTED_VALUE"""),10650.0)</f>
        <v>10650</v>
      </c>
      <c r="I909" s="7">
        <f>IFERROR(__xludf.DUMMYFUNCTION("""COMPUTED_VALUE"""),44828.0)</f>
        <v>44828</v>
      </c>
      <c r="J909" s="7">
        <f>IFERROR(__xludf.DUMMYFUNCTION("""COMPUTED_VALUE"""),44839.0)</f>
        <v>44839</v>
      </c>
      <c r="K909" s="5" t="str">
        <f>IFERROR(__xludf.DUMMYFUNCTION("""COMPUTED_VALUE"""),"high-income")</f>
        <v>high-income</v>
      </c>
      <c r="L909" s="5" t="str">
        <f>IFERROR(__xludf.DUMMYFUNCTION("""COMPUTED_VALUE"""),"Marshall Islands")</f>
        <v>Marshall Islands</v>
      </c>
      <c r="M909" s="5" t="str">
        <f>IFERROR(__xludf.DUMMYFUNCTION("""COMPUTED_VALUE"""),"Europe &amp; Central Asia")</f>
        <v>Europe &amp; Central Asia</v>
      </c>
      <c r="N909" s="5" t="str">
        <f>IFERROR(__xludf.DUMMYFUNCTION("""COMPUTED_VALUE"""),"Western Europe and Others")</f>
        <v>Western Europe and Others</v>
      </c>
      <c r="O909" s="5" t="str">
        <f>IFERROR(__xludf.DUMMYFUNCTION("""COMPUTED_VALUE"""),"developed")</f>
        <v>developed</v>
      </c>
      <c r="P909" s="5"/>
      <c r="Q909" s="5"/>
    </row>
    <row r="910">
      <c r="A910" s="5" t="str">
        <f>IFERROR(__xludf.DUMMYFUNCTION("""COMPUTED_VALUE"""),"Outbound +")</f>
        <v>Outbound +</v>
      </c>
      <c r="B910" s="5">
        <f>IFERROR(__xludf.DUMMYFUNCTION("""COMPUTED_VALUE"""),206.0)</f>
        <v>206</v>
      </c>
      <c r="C910" s="5" t="str">
        <f>IFERROR(__xludf.DUMMYFUNCTION("""COMPUTED_VALUE"""),"DS SOFIE BULKER")</f>
        <v>DS SOFIE BULKER</v>
      </c>
      <c r="D910" s="5">
        <f>IFERROR(__xludf.DUMMYFUNCTION("""COMPUTED_VALUE"""),9310604.0)</f>
        <v>9310604</v>
      </c>
      <c r="E910" s="5" t="str">
        <f>IFERROR(__xludf.DUMMYFUNCTION("""COMPUTED_VALUE"""),"Odesa")</f>
        <v>Odesa</v>
      </c>
      <c r="F910" s="5" t="str">
        <f>IFERROR(__xludf.DUMMYFUNCTION("""COMPUTED_VALUE"""),"Spain")</f>
        <v>Spain</v>
      </c>
      <c r="G910" s="5" t="str">
        <f>IFERROR(__xludf.DUMMYFUNCTION("""COMPUTED_VALUE"""),"Corn")</f>
        <v>Corn</v>
      </c>
      <c r="H910" s="6">
        <f>IFERROR(__xludf.DUMMYFUNCTION("""COMPUTED_VALUE"""),6200.0)</f>
        <v>6200</v>
      </c>
      <c r="I910" s="7">
        <f>IFERROR(__xludf.DUMMYFUNCTION("""COMPUTED_VALUE"""),44828.0)</f>
        <v>44828</v>
      </c>
      <c r="J910" s="7">
        <f>IFERROR(__xludf.DUMMYFUNCTION("""COMPUTED_VALUE"""),44839.0)</f>
        <v>44839</v>
      </c>
      <c r="K910" s="5" t="str">
        <f>IFERROR(__xludf.DUMMYFUNCTION("""COMPUTED_VALUE"""),"high-income")</f>
        <v>high-income</v>
      </c>
      <c r="L910" s="5" t="str">
        <f>IFERROR(__xludf.DUMMYFUNCTION("""COMPUTED_VALUE"""),"Marshall Islands")</f>
        <v>Marshall Islands</v>
      </c>
      <c r="M910" s="5" t="str">
        <f>IFERROR(__xludf.DUMMYFUNCTION("""COMPUTED_VALUE"""),"Europe &amp; Central Asia")</f>
        <v>Europe &amp; Central Asia</v>
      </c>
      <c r="N910" s="5" t="str">
        <f>IFERROR(__xludf.DUMMYFUNCTION("""COMPUTED_VALUE"""),"Western Europe and Others")</f>
        <v>Western Europe and Others</v>
      </c>
      <c r="O910" s="5" t="str">
        <f>IFERROR(__xludf.DUMMYFUNCTION("""COMPUTED_VALUE"""),"developed")</f>
        <v>developed</v>
      </c>
      <c r="P910" s="5"/>
      <c r="Q910" s="5"/>
    </row>
    <row r="911">
      <c r="A911" s="5" t="str">
        <f>IFERROR(__xludf.DUMMYFUNCTION("""COMPUTED_VALUE"""),"Outbound +")</f>
        <v>Outbound +</v>
      </c>
      <c r="B911" s="5">
        <f>IFERROR(__xludf.DUMMYFUNCTION("""COMPUTED_VALUE"""),206.0)</f>
        <v>206</v>
      </c>
      <c r="C911" s="5" t="str">
        <f>IFERROR(__xludf.DUMMYFUNCTION("""COMPUTED_VALUE"""),"DS SOFIE BULKER")</f>
        <v>DS SOFIE BULKER</v>
      </c>
      <c r="D911" s="5">
        <f>IFERROR(__xludf.DUMMYFUNCTION("""COMPUTED_VALUE"""),9310604.0)</f>
        <v>9310604</v>
      </c>
      <c r="E911" s="5" t="str">
        <f>IFERROR(__xludf.DUMMYFUNCTION("""COMPUTED_VALUE"""),"Odesa")</f>
        <v>Odesa</v>
      </c>
      <c r="F911" s="5" t="str">
        <f>IFERROR(__xludf.DUMMYFUNCTION("""COMPUTED_VALUE"""),"Spain")</f>
        <v>Spain</v>
      </c>
      <c r="G911" s="5" t="str">
        <f>IFERROR(__xludf.DUMMYFUNCTION("""COMPUTED_VALUE"""),"Wheat")</f>
        <v>Wheat</v>
      </c>
      <c r="H911" s="6">
        <f>IFERROR(__xludf.DUMMYFUNCTION("""COMPUTED_VALUE"""),10950.0)</f>
        <v>10950</v>
      </c>
      <c r="I911" s="7">
        <f>IFERROR(__xludf.DUMMYFUNCTION("""COMPUTED_VALUE"""),44828.0)</f>
        <v>44828</v>
      </c>
      <c r="J911" s="7">
        <f>IFERROR(__xludf.DUMMYFUNCTION("""COMPUTED_VALUE"""),44839.0)</f>
        <v>44839</v>
      </c>
      <c r="K911" s="5" t="str">
        <f>IFERROR(__xludf.DUMMYFUNCTION("""COMPUTED_VALUE"""),"high-income")</f>
        <v>high-income</v>
      </c>
      <c r="L911" s="5" t="str">
        <f>IFERROR(__xludf.DUMMYFUNCTION("""COMPUTED_VALUE"""),"Marshall Islands")</f>
        <v>Marshall Islands</v>
      </c>
      <c r="M911" s="5" t="str">
        <f>IFERROR(__xludf.DUMMYFUNCTION("""COMPUTED_VALUE"""),"Europe &amp; Central Asia")</f>
        <v>Europe &amp; Central Asia</v>
      </c>
      <c r="N911" s="5" t="str">
        <f>IFERROR(__xludf.DUMMYFUNCTION("""COMPUTED_VALUE"""),"Western Europe and Others")</f>
        <v>Western Europe and Others</v>
      </c>
      <c r="O911" s="5" t="str">
        <f>IFERROR(__xludf.DUMMYFUNCTION("""COMPUTED_VALUE"""),"developed")</f>
        <v>developed</v>
      </c>
      <c r="P911" s="5"/>
      <c r="Q911" s="5"/>
    </row>
    <row r="912">
      <c r="A912" s="5" t="str">
        <f>IFERROR(__xludf.DUMMYFUNCTION("""COMPUTED_VALUE"""),"Outbound")</f>
        <v>Outbound</v>
      </c>
      <c r="B912" s="5">
        <f>IFERROR(__xludf.DUMMYFUNCTION("""COMPUTED_VALUE"""),205.0)</f>
        <v>205</v>
      </c>
      <c r="C912" s="5" t="str">
        <f>IFERROR(__xludf.DUMMYFUNCTION("""COMPUTED_VALUE"""),"DANO")</f>
        <v>DANO</v>
      </c>
      <c r="D912" s="5">
        <f>IFERROR(__xludf.DUMMYFUNCTION("""COMPUTED_VALUE"""),8609175.0)</f>
        <v>8609175</v>
      </c>
      <c r="E912" s="5" t="str">
        <f>IFERROR(__xludf.DUMMYFUNCTION("""COMPUTED_VALUE"""),"Odesa")</f>
        <v>Odesa</v>
      </c>
      <c r="F912" s="5" t="str">
        <f>IFERROR(__xludf.DUMMYFUNCTION("""COMPUTED_VALUE"""),"Türkiye")</f>
        <v>Türkiye</v>
      </c>
      <c r="G912" s="5" t="str">
        <f>IFERROR(__xludf.DUMMYFUNCTION("""COMPUTED_VALUE"""),"Wheat")</f>
        <v>Wheat</v>
      </c>
      <c r="H912" s="6">
        <f>IFERROR(__xludf.DUMMYFUNCTION("""COMPUTED_VALUE"""),6600.0)</f>
        <v>6600</v>
      </c>
      <c r="I912" s="7">
        <f>IFERROR(__xludf.DUMMYFUNCTION("""COMPUTED_VALUE"""),44828.0)</f>
        <v>44828</v>
      </c>
      <c r="J912" s="7">
        <f>IFERROR(__xludf.DUMMYFUNCTION("""COMPUTED_VALUE"""),44848.0)</f>
        <v>44848</v>
      </c>
      <c r="K912" s="5" t="str">
        <f>IFERROR(__xludf.DUMMYFUNCTION("""COMPUTED_VALUE"""),"upper-middle-income")</f>
        <v>upper-middle-income</v>
      </c>
      <c r="L912" s="5" t="str">
        <f>IFERROR(__xludf.DUMMYFUNCTION("""COMPUTED_VALUE"""),"Togo")</f>
        <v>Togo</v>
      </c>
      <c r="M912" s="5" t="str">
        <f>IFERROR(__xludf.DUMMYFUNCTION("""COMPUTED_VALUE"""),"Europe &amp; Central Asia")</f>
        <v>Europe &amp; Central Asia</v>
      </c>
      <c r="N912" s="5" t="str">
        <f>IFERROR(__xludf.DUMMYFUNCTION("""COMPUTED_VALUE"""),"Asia-Pacific")</f>
        <v>Asia-Pacific</v>
      </c>
      <c r="O912" s="5" t="str">
        <f>IFERROR(__xludf.DUMMYFUNCTION("""COMPUTED_VALUE"""),"developing")</f>
        <v>developing</v>
      </c>
      <c r="P912" s="5"/>
      <c r="Q912" s="5"/>
    </row>
    <row r="913">
      <c r="A913" s="5" t="str">
        <f>IFERROR(__xludf.DUMMYFUNCTION("""COMPUTED_VALUE"""),"Outbound")</f>
        <v>Outbound</v>
      </c>
      <c r="B913" s="5">
        <f>IFERROR(__xludf.DUMMYFUNCTION("""COMPUTED_VALUE"""),204.0)</f>
        <v>204</v>
      </c>
      <c r="C913" s="5" t="str">
        <f>IFERROR(__xludf.DUMMYFUNCTION("""COMPUTED_VALUE"""),"BAHAR K")</f>
        <v>BAHAR K</v>
      </c>
      <c r="D913" s="5">
        <f>IFERROR(__xludf.DUMMYFUNCTION("""COMPUTED_VALUE"""),8884555.0)</f>
        <v>8884555</v>
      </c>
      <c r="E913" s="5" t="str">
        <f>IFERROR(__xludf.DUMMYFUNCTION("""COMPUTED_VALUE"""),"Chornomorsk")</f>
        <v>Chornomorsk</v>
      </c>
      <c r="F913" s="5" t="str">
        <f>IFERROR(__xludf.DUMMYFUNCTION("""COMPUTED_VALUE"""),"Türkiye")</f>
        <v>Türkiye</v>
      </c>
      <c r="G913" s="5" t="str">
        <f>IFERROR(__xludf.DUMMYFUNCTION("""COMPUTED_VALUE"""),"Soya beans")</f>
        <v>Soya beans</v>
      </c>
      <c r="H913" s="6">
        <f>IFERROR(__xludf.DUMMYFUNCTION("""COMPUTED_VALUE"""),7700.0)</f>
        <v>7700</v>
      </c>
      <c r="I913" s="7">
        <f>IFERROR(__xludf.DUMMYFUNCTION("""COMPUTED_VALUE"""),44828.0)</f>
        <v>44828</v>
      </c>
      <c r="J913" s="7">
        <f>IFERROR(__xludf.DUMMYFUNCTION("""COMPUTED_VALUE"""),44841.0)</f>
        <v>44841</v>
      </c>
      <c r="K913" s="5" t="str">
        <f>IFERROR(__xludf.DUMMYFUNCTION("""COMPUTED_VALUE"""),"upper-middle-income")</f>
        <v>upper-middle-income</v>
      </c>
      <c r="L913" s="5" t="str">
        <f>IFERROR(__xludf.DUMMYFUNCTION("""COMPUTED_VALUE"""),"Vanuatu")</f>
        <v>Vanuatu</v>
      </c>
      <c r="M913" s="5" t="str">
        <f>IFERROR(__xludf.DUMMYFUNCTION("""COMPUTED_VALUE"""),"Europe &amp; Central Asia")</f>
        <v>Europe &amp; Central Asia</v>
      </c>
      <c r="N913" s="5" t="str">
        <f>IFERROR(__xludf.DUMMYFUNCTION("""COMPUTED_VALUE"""),"Asia-Pacific")</f>
        <v>Asia-Pacific</v>
      </c>
      <c r="O913" s="5" t="str">
        <f>IFERROR(__xludf.DUMMYFUNCTION("""COMPUTED_VALUE"""),"developing")</f>
        <v>developing</v>
      </c>
      <c r="P913" s="5"/>
      <c r="Q913" s="5"/>
    </row>
    <row r="914">
      <c r="A914" s="5" t="str">
        <f>IFERROR(__xludf.DUMMYFUNCTION("""COMPUTED_VALUE"""),"Outbound")</f>
        <v>Outbound</v>
      </c>
      <c r="B914" s="5">
        <f>IFERROR(__xludf.DUMMYFUNCTION("""COMPUTED_VALUE"""),203.0)</f>
        <v>203</v>
      </c>
      <c r="C914" s="5" t="str">
        <f>IFERROR(__xludf.DUMMYFUNCTION("""COMPUTED_VALUE"""),"ZEKO Y")</f>
        <v>ZEKO Y</v>
      </c>
      <c r="D914" s="5">
        <f>IFERROR(__xludf.DUMMYFUNCTION("""COMPUTED_VALUE"""),8027573.0)</f>
        <v>8027573</v>
      </c>
      <c r="E914" s="5" t="str">
        <f>IFERROR(__xludf.DUMMYFUNCTION("""COMPUTED_VALUE"""),"Odesa")</f>
        <v>Odesa</v>
      </c>
      <c r="F914" s="5" t="str">
        <f>IFERROR(__xludf.DUMMYFUNCTION("""COMPUTED_VALUE"""),"Türkiye")</f>
        <v>Türkiye</v>
      </c>
      <c r="G914" s="5" t="str">
        <f>IFERROR(__xludf.DUMMYFUNCTION("""COMPUTED_VALUE"""),"Wheat")</f>
        <v>Wheat</v>
      </c>
      <c r="H914" s="6">
        <f>IFERROR(__xludf.DUMMYFUNCTION("""COMPUTED_VALUE"""),8200.0)</f>
        <v>8200</v>
      </c>
      <c r="I914" s="7">
        <f>IFERROR(__xludf.DUMMYFUNCTION("""COMPUTED_VALUE"""),44827.0)</f>
        <v>44827</v>
      </c>
      <c r="J914" s="7">
        <f>IFERROR(__xludf.DUMMYFUNCTION("""COMPUTED_VALUE"""),44837.0)</f>
        <v>44837</v>
      </c>
      <c r="K914" s="5" t="str">
        <f>IFERROR(__xludf.DUMMYFUNCTION("""COMPUTED_VALUE"""),"upper-middle-income")</f>
        <v>upper-middle-income</v>
      </c>
      <c r="L914" s="5" t="str">
        <f>IFERROR(__xludf.DUMMYFUNCTION("""COMPUTED_VALUE"""),"Liberia")</f>
        <v>Liberia</v>
      </c>
      <c r="M914" s="5" t="str">
        <f>IFERROR(__xludf.DUMMYFUNCTION("""COMPUTED_VALUE"""),"Europe &amp; Central Asia")</f>
        <v>Europe &amp; Central Asia</v>
      </c>
      <c r="N914" s="5" t="str">
        <f>IFERROR(__xludf.DUMMYFUNCTION("""COMPUTED_VALUE"""),"Asia-Pacific")</f>
        <v>Asia-Pacific</v>
      </c>
      <c r="O914" s="5" t="str">
        <f>IFERROR(__xludf.DUMMYFUNCTION("""COMPUTED_VALUE"""),"developing")</f>
        <v>developing</v>
      </c>
      <c r="P914" s="5"/>
      <c r="Q914" s="5"/>
    </row>
    <row r="915">
      <c r="A915" s="5" t="str">
        <f>IFERROR(__xludf.DUMMYFUNCTION("""COMPUTED_VALUE"""),"Outbound")</f>
        <v>Outbound</v>
      </c>
      <c r="B915" s="5">
        <f>IFERROR(__xludf.DUMMYFUNCTION("""COMPUTED_VALUE"""),202.0)</f>
        <v>202</v>
      </c>
      <c r="C915" s="5" t="str">
        <f>IFERROR(__xludf.DUMMYFUNCTION("""COMPUTED_VALUE"""),"TZAREVICH")</f>
        <v>TZAREVICH</v>
      </c>
      <c r="D915" s="5">
        <f>IFERROR(__xludf.DUMMYFUNCTION("""COMPUTED_VALUE"""),9145229.0)</f>
        <v>9145229</v>
      </c>
      <c r="E915" s="5" t="str">
        <f>IFERROR(__xludf.DUMMYFUNCTION("""COMPUTED_VALUE"""),"Chornomorsk")</f>
        <v>Chornomorsk</v>
      </c>
      <c r="F915" s="5" t="str">
        <f>IFERROR(__xludf.DUMMYFUNCTION("""COMPUTED_VALUE"""),"Bulgaria")</f>
        <v>Bulgaria</v>
      </c>
      <c r="G915" s="5" t="str">
        <f>IFERROR(__xludf.DUMMYFUNCTION("""COMPUTED_VALUE"""),"Sunflower meal")</f>
        <v>Sunflower meal</v>
      </c>
      <c r="H915" s="6">
        <f>IFERROR(__xludf.DUMMYFUNCTION("""COMPUTED_VALUE"""),10000.0)</f>
        <v>10000</v>
      </c>
      <c r="I915" s="7">
        <f>IFERROR(__xludf.DUMMYFUNCTION("""COMPUTED_VALUE"""),44827.0)</f>
        <v>44827</v>
      </c>
      <c r="J915" s="7">
        <f>IFERROR(__xludf.DUMMYFUNCTION("""COMPUTED_VALUE"""),44840.0)</f>
        <v>44840</v>
      </c>
      <c r="K915" s="5" t="str">
        <f>IFERROR(__xludf.DUMMYFUNCTION("""COMPUTED_VALUE"""),"upper-middle-income")</f>
        <v>upper-middle-income</v>
      </c>
      <c r="L915" s="5" t="str">
        <f>IFERROR(__xludf.DUMMYFUNCTION("""COMPUTED_VALUE"""),"Malta")</f>
        <v>Malta</v>
      </c>
      <c r="M915" s="5" t="str">
        <f>IFERROR(__xludf.DUMMYFUNCTION("""COMPUTED_VALUE"""),"Europe &amp; Central Asia")</f>
        <v>Europe &amp; Central Asia</v>
      </c>
      <c r="N915" s="5" t="str">
        <f>IFERROR(__xludf.DUMMYFUNCTION("""COMPUTED_VALUE"""),"Eastern Europe")</f>
        <v>Eastern Europe</v>
      </c>
      <c r="O915" s="5" t="str">
        <f>IFERROR(__xludf.DUMMYFUNCTION("""COMPUTED_VALUE"""),"developed")</f>
        <v>developed</v>
      </c>
      <c r="P915" s="5"/>
      <c r="Q915" s="5"/>
    </row>
    <row r="916">
      <c r="A916" s="5" t="str">
        <f>IFERROR(__xludf.DUMMYFUNCTION("""COMPUTED_VALUE"""),"Outbound")</f>
        <v>Outbound</v>
      </c>
      <c r="B916" s="5">
        <f>IFERROR(__xludf.DUMMYFUNCTION("""COMPUTED_VALUE"""),201.0)</f>
        <v>201</v>
      </c>
      <c r="C916" s="5" t="str">
        <f>IFERROR(__xludf.DUMMYFUNCTION("""COMPUTED_VALUE"""),"SEA DOVE")</f>
        <v>SEA DOVE</v>
      </c>
      <c r="D916" s="5">
        <f>IFERROR(__xludf.DUMMYFUNCTION("""COMPUTED_VALUE"""),8202525.0)</f>
        <v>8202525</v>
      </c>
      <c r="E916" s="5" t="str">
        <f>IFERROR(__xludf.DUMMYFUNCTION("""COMPUTED_VALUE"""),"Chornomorsk")</f>
        <v>Chornomorsk</v>
      </c>
      <c r="F916" s="5" t="str">
        <f>IFERROR(__xludf.DUMMYFUNCTION("""COMPUTED_VALUE"""),"Italy")</f>
        <v>Italy</v>
      </c>
      <c r="G916" s="5" t="str">
        <f>IFERROR(__xludf.DUMMYFUNCTION("""COMPUTED_VALUE"""),"Corn")</f>
        <v>Corn</v>
      </c>
      <c r="H916" s="6">
        <f>IFERROR(__xludf.DUMMYFUNCTION("""COMPUTED_VALUE"""),33000.0)</f>
        <v>33000</v>
      </c>
      <c r="I916" s="7">
        <f>IFERROR(__xludf.DUMMYFUNCTION("""COMPUTED_VALUE"""),44827.0)</f>
        <v>44827</v>
      </c>
      <c r="J916" s="7">
        <f>IFERROR(__xludf.DUMMYFUNCTION("""COMPUTED_VALUE"""),44843.0)</f>
        <v>44843</v>
      </c>
      <c r="K916" s="5" t="str">
        <f>IFERROR(__xludf.DUMMYFUNCTION("""COMPUTED_VALUE"""),"high-income")</f>
        <v>high-income</v>
      </c>
      <c r="L916" s="5" t="str">
        <f>IFERROR(__xludf.DUMMYFUNCTION("""COMPUTED_VALUE"""),"Palau")</f>
        <v>Palau</v>
      </c>
      <c r="M916" s="5" t="str">
        <f>IFERROR(__xludf.DUMMYFUNCTION("""COMPUTED_VALUE"""),"Europe &amp; Central Asia")</f>
        <v>Europe &amp; Central Asia</v>
      </c>
      <c r="N916" s="5" t="str">
        <f>IFERROR(__xludf.DUMMYFUNCTION("""COMPUTED_VALUE"""),"Western Europe and Others")</f>
        <v>Western Europe and Others</v>
      </c>
      <c r="O916" s="5" t="str">
        <f>IFERROR(__xludf.DUMMYFUNCTION("""COMPUTED_VALUE"""),"developed")</f>
        <v>developed</v>
      </c>
      <c r="P916" s="5"/>
      <c r="Q916" s="5"/>
    </row>
    <row r="917">
      <c r="A917" s="5" t="str">
        <f>IFERROR(__xludf.DUMMYFUNCTION("""COMPUTED_VALUE"""),"Outbound")</f>
        <v>Outbound</v>
      </c>
      <c r="B917" s="5">
        <f>IFERROR(__xludf.DUMMYFUNCTION("""COMPUTED_VALUE"""),200.0)</f>
        <v>200</v>
      </c>
      <c r="C917" s="5" t="str">
        <f>IFERROR(__xludf.DUMMYFUNCTION("""COMPUTED_VALUE"""),"OLMA")</f>
        <v>OLMA</v>
      </c>
      <c r="D917" s="5">
        <f>IFERROR(__xludf.DUMMYFUNCTION("""COMPUTED_VALUE"""),8004806.0)</f>
        <v>8004806</v>
      </c>
      <c r="E917" s="5" t="str">
        <f>IFERROR(__xludf.DUMMYFUNCTION("""COMPUTED_VALUE"""),"Chornomorsk")</f>
        <v>Chornomorsk</v>
      </c>
      <c r="F917" s="5" t="str">
        <f>IFERROR(__xludf.DUMMYFUNCTION("""COMPUTED_VALUE"""),"Türkiye")</f>
        <v>Türkiye</v>
      </c>
      <c r="G917" s="5" t="str">
        <f>IFERROR(__xludf.DUMMYFUNCTION("""COMPUTED_VALUE"""),"Soya beans")</f>
        <v>Soya beans</v>
      </c>
      <c r="H917" s="6">
        <f>IFERROR(__xludf.DUMMYFUNCTION("""COMPUTED_VALUE"""),5150.0)</f>
        <v>5150</v>
      </c>
      <c r="I917" s="7">
        <f>IFERROR(__xludf.DUMMYFUNCTION("""COMPUTED_VALUE"""),44827.0)</f>
        <v>44827</v>
      </c>
      <c r="J917" s="7">
        <f>IFERROR(__xludf.DUMMYFUNCTION("""COMPUTED_VALUE"""),44837.0)</f>
        <v>44837</v>
      </c>
      <c r="K917" s="5" t="str">
        <f>IFERROR(__xludf.DUMMYFUNCTION("""COMPUTED_VALUE"""),"upper-middle-income")</f>
        <v>upper-middle-income</v>
      </c>
      <c r="L917" s="5" t="str">
        <f>IFERROR(__xludf.DUMMYFUNCTION("""COMPUTED_VALUE"""),"Honduras")</f>
        <v>Honduras</v>
      </c>
      <c r="M917" s="5" t="str">
        <f>IFERROR(__xludf.DUMMYFUNCTION("""COMPUTED_VALUE"""),"Europe &amp; Central Asia")</f>
        <v>Europe &amp; Central Asia</v>
      </c>
      <c r="N917" s="5" t="str">
        <f>IFERROR(__xludf.DUMMYFUNCTION("""COMPUTED_VALUE"""),"Asia-Pacific")</f>
        <v>Asia-Pacific</v>
      </c>
      <c r="O917" s="5" t="str">
        <f>IFERROR(__xludf.DUMMYFUNCTION("""COMPUTED_VALUE"""),"developing")</f>
        <v>developing</v>
      </c>
      <c r="P917" s="5"/>
      <c r="Q917" s="5"/>
    </row>
    <row r="918">
      <c r="A918" s="5" t="str">
        <f>IFERROR(__xludf.DUMMYFUNCTION("""COMPUTED_VALUE"""),"Outbound")</f>
        <v>Outbound</v>
      </c>
      <c r="B918" s="5">
        <f>IFERROR(__xludf.DUMMYFUNCTION("""COMPUTED_VALUE"""),199.0)</f>
        <v>199</v>
      </c>
      <c r="C918" s="5" t="str">
        <f>IFERROR(__xludf.DUMMYFUNCTION("""COMPUTED_VALUE"""),"NIL DEMIR")</f>
        <v>NIL DEMIR</v>
      </c>
      <c r="D918" s="5">
        <f>IFERROR(__xludf.DUMMYFUNCTION("""COMPUTED_VALUE"""),8003814.0)</f>
        <v>8003814</v>
      </c>
      <c r="E918" s="5" t="str">
        <f>IFERROR(__xludf.DUMMYFUNCTION("""COMPUTED_VALUE"""),"Chornomorsk")</f>
        <v>Chornomorsk</v>
      </c>
      <c r="F918" s="5" t="str">
        <f>IFERROR(__xludf.DUMMYFUNCTION("""COMPUTED_VALUE"""),"Türkiye")</f>
        <v>Türkiye</v>
      </c>
      <c r="G918" s="5" t="str">
        <f>IFERROR(__xludf.DUMMYFUNCTION("""COMPUTED_VALUE"""),"Peas")</f>
        <v>Peas</v>
      </c>
      <c r="H918" s="6">
        <f>IFERROR(__xludf.DUMMYFUNCTION("""COMPUTED_VALUE"""),3700.0)</f>
        <v>3700</v>
      </c>
      <c r="I918" s="7">
        <f>IFERROR(__xludf.DUMMYFUNCTION("""COMPUTED_VALUE"""),44827.0)</f>
        <v>44827</v>
      </c>
      <c r="J918" s="7">
        <f>IFERROR(__xludf.DUMMYFUNCTION("""COMPUTED_VALUE"""),44838.0)</f>
        <v>44838</v>
      </c>
      <c r="K918" s="5" t="str">
        <f>IFERROR(__xludf.DUMMYFUNCTION("""COMPUTED_VALUE"""),"upper-middle-income")</f>
        <v>upper-middle-income</v>
      </c>
      <c r="L918" s="5" t="str">
        <f>IFERROR(__xludf.DUMMYFUNCTION("""COMPUTED_VALUE"""),"Panama")</f>
        <v>Panama</v>
      </c>
      <c r="M918" s="5" t="str">
        <f>IFERROR(__xludf.DUMMYFUNCTION("""COMPUTED_VALUE"""),"Europe &amp; Central Asia")</f>
        <v>Europe &amp; Central Asia</v>
      </c>
      <c r="N918" s="5" t="str">
        <f>IFERROR(__xludf.DUMMYFUNCTION("""COMPUTED_VALUE"""),"Asia-Pacific")</f>
        <v>Asia-Pacific</v>
      </c>
      <c r="O918" s="5" t="str">
        <f>IFERROR(__xludf.DUMMYFUNCTION("""COMPUTED_VALUE"""),"developing")</f>
        <v>developing</v>
      </c>
      <c r="P918" s="5"/>
      <c r="Q918" s="5"/>
    </row>
    <row r="919">
      <c r="A919" s="5" t="str">
        <f>IFERROR(__xludf.DUMMYFUNCTION("""COMPUTED_VALUE"""),"Outbound")</f>
        <v>Outbound</v>
      </c>
      <c r="B919" s="5">
        <f>IFERROR(__xludf.DUMMYFUNCTION("""COMPUTED_VALUE"""),198.0)</f>
        <v>198</v>
      </c>
      <c r="C919" s="5" t="str">
        <f>IFERROR(__xludf.DUMMYFUNCTION("""COMPUTED_VALUE"""),"MO GAN SHAN")</f>
        <v>MO GAN SHAN</v>
      </c>
      <c r="D919" s="5">
        <f>IFERROR(__xludf.DUMMYFUNCTION("""COMPUTED_VALUE"""),9663099.0)</f>
        <v>9663099</v>
      </c>
      <c r="E919" s="5" t="str">
        <f>IFERROR(__xludf.DUMMYFUNCTION("""COMPUTED_VALUE"""),"Chornomorsk")</f>
        <v>Chornomorsk</v>
      </c>
      <c r="F919" s="5" t="str">
        <f>IFERROR(__xludf.DUMMYFUNCTION("""COMPUTED_VALUE"""),"Bangladesh")</f>
        <v>Bangladesh</v>
      </c>
      <c r="G919" s="5" t="str">
        <f>IFERROR(__xludf.DUMMYFUNCTION("""COMPUTED_VALUE"""),"Wheat")</f>
        <v>Wheat</v>
      </c>
      <c r="H919" s="6">
        <f>IFERROR(__xludf.DUMMYFUNCTION("""COMPUTED_VALUE"""),57311.0)</f>
        <v>57311</v>
      </c>
      <c r="I919" s="7">
        <f>IFERROR(__xludf.DUMMYFUNCTION("""COMPUTED_VALUE"""),44827.0)</f>
        <v>44827</v>
      </c>
      <c r="J919" s="7">
        <f>IFERROR(__xludf.DUMMYFUNCTION("""COMPUTED_VALUE"""),44837.0)</f>
        <v>44837</v>
      </c>
      <c r="K919" s="5" t="str">
        <f>IFERROR(__xludf.DUMMYFUNCTION("""COMPUTED_VALUE"""),"lower-middle income")</f>
        <v>lower-middle income</v>
      </c>
      <c r="L919" s="5" t="str">
        <f>IFERROR(__xludf.DUMMYFUNCTION("""COMPUTED_VALUE"""),"Marshall Islands")</f>
        <v>Marshall Islands</v>
      </c>
      <c r="M919" s="5" t="str">
        <f>IFERROR(__xludf.DUMMYFUNCTION("""COMPUTED_VALUE"""),"South Asia")</f>
        <v>South Asia</v>
      </c>
      <c r="N919" s="5" t="str">
        <f>IFERROR(__xludf.DUMMYFUNCTION("""COMPUTED_VALUE"""),"Asia-Pacific")</f>
        <v>Asia-Pacific</v>
      </c>
      <c r="O919" s="5" t="str">
        <f>IFERROR(__xludf.DUMMYFUNCTION("""COMPUTED_VALUE"""),"developing")</f>
        <v>developing</v>
      </c>
      <c r="P919" s="5"/>
      <c r="Q919" s="5"/>
    </row>
    <row r="920">
      <c r="A920" s="5" t="str">
        <f>IFERROR(__xludf.DUMMYFUNCTION("""COMPUTED_VALUE"""),"Outbound")</f>
        <v>Outbound</v>
      </c>
      <c r="B920" s="5">
        <f>IFERROR(__xludf.DUMMYFUNCTION("""COMPUTED_VALUE"""),197.0)</f>
        <v>197</v>
      </c>
      <c r="C920" s="5" t="str">
        <f>IFERROR(__xludf.DUMMYFUNCTION("""COMPUTED_VALUE"""),"MERRY M")</f>
        <v>MERRY M</v>
      </c>
      <c r="D920" s="5">
        <f>IFERROR(__xludf.DUMMYFUNCTION("""COMPUTED_VALUE"""),8418265.0)</f>
        <v>8418265</v>
      </c>
      <c r="E920" s="5" t="str">
        <f>IFERROR(__xludf.DUMMYFUNCTION("""COMPUTED_VALUE"""),"Chornomorsk")</f>
        <v>Chornomorsk</v>
      </c>
      <c r="F920" s="5" t="str">
        <f>IFERROR(__xludf.DUMMYFUNCTION("""COMPUTED_VALUE"""),"Türkiye")</f>
        <v>Türkiye</v>
      </c>
      <c r="G920" s="5" t="str">
        <f>IFERROR(__xludf.DUMMYFUNCTION("""COMPUTED_VALUE"""),"Sunflower meal")</f>
        <v>Sunflower meal</v>
      </c>
      <c r="H920" s="6">
        <f>IFERROR(__xludf.DUMMYFUNCTION("""COMPUTED_VALUE"""),4450.0)</f>
        <v>4450</v>
      </c>
      <c r="I920" s="7">
        <f>IFERROR(__xludf.DUMMYFUNCTION("""COMPUTED_VALUE"""),44827.0)</f>
        <v>44827</v>
      </c>
      <c r="J920" s="7">
        <f>IFERROR(__xludf.DUMMYFUNCTION("""COMPUTED_VALUE"""),44840.0)</f>
        <v>44840</v>
      </c>
      <c r="K920" s="5" t="str">
        <f>IFERROR(__xludf.DUMMYFUNCTION("""COMPUTED_VALUE"""),"upper-middle-income")</f>
        <v>upper-middle-income</v>
      </c>
      <c r="L920" s="5" t="str">
        <f>IFERROR(__xludf.DUMMYFUNCTION("""COMPUTED_VALUE"""),"Comoros")</f>
        <v>Comoros</v>
      </c>
      <c r="M920" s="5" t="str">
        <f>IFERROR(__xludf.DUMMYFUNCTION("""COMPUTED_VALUE"""),"Europe &amp; Central Asia")</f>
        <v>Europe &amp; Central Asia</v>
      </c>
      <c r="N920" s="5" t="str">
        <f>IFERROR(__xludf.DUMMYFUNCTION("""COMPUTED_VALUE"""),"Asia-Pacific")</f>
        <v>Asia-Pacific</v>
      </c>
      <c r="O920" s="5" t="str">
        <f>IFERROR(__xludf.DUMMYFUNCTION("""COMPUTED_VALUE"""),"developing")</f>
        <v>developing</v>
      </c>
      <c r="P920" s="5"/>
      <c r="Q920" s="5"/>
    </row>
    <row r="921">
      <c r="A921" s="5" t="str">
        <f>IFERROR(__xludf.DUMMYFUNCTION("""COMPUTED_VALUE"""),"Outbound")</f>
        <v>Outbound</v>
      </c>
      <c r="B921" s="5">
        <f>IFERROR(__xludf.DUMMYFUNCTION("""COMPUTED_VALUE"""),196.0)</f>
        <v>196</v>
      </c>
      <c r="C921" s="5" t="str">
        <f>IFERROR(__xludf.DUMMYFUNCTION("""COMPUTED_VALUE"""),"MAVKA")</f>
        <v>MAVKA</v>
      </c>
      <c r="D921" s="5">
        <f>IFERROR(__xludf.DUMMYFUNCTION("""COMPUTED_VALUE"""),9284647.0)</f>
        <v>9284647</v>
      </c>
      <c r="E921" s="5" t="str">
        <f>IFERROR(__xludf.DUMMYFUNCTION("""COMPUTED_VALUE"""),"Yuzhny/Pivdennyi")</f>
        <v>Yuzhny/Pivdennyi</v>
      </c>
      <c r="F921" s="5" t="str">
        <f>IFERROR(__xludf.DUMMYFUNCTION("""COMPUTED_VALUE"""),"Romania")</f>
        <v>Romania</v>
      </c>
      <c r="G921" s="5" t="str">
        <f>IFERROR(__xludf.DUMMYFUNCTION("""COMPUTED_VALUE"""),"Sunflower oil")</f>
        <v>Sunflower oil</v>
      </c>
      <c r="H921" s="6">
        <f>IFERROR(__xludf.DUMMYFUNCTION("""COMPUTED_VALUE"""),11950.0)</f>
        <v>11950</v>
      </c>
      <c r="I921" s="7">
        <f>IFERROR(__xludf.DUMMYFUNCTION("""COMPUTED_VALUE"""),44827.0)</f>
        <v>44827</v>
      </c>
      <c r="J921" s="7">
        <f>IFERROR(__xludf.DUMMYFUNCTION("""COMPUTED_VALUE"""),44838.0)</f>
        <v>44838</v>
      </c>
      <c r="K921" s="5" t="str">
        <f>IFERROR(__xludf.DUMMYFUNCTION("""COMPUTED_VALUE"""),"high-income")</f>
        <v>high-income</v>
      </c>
      <c r="L921" s="5" t="str">
        <f>IFERROR(__xludf.DUMMYFUNCTION("""COMPUTED_VALUE"""),"Panama")</f>
        <v>Panama</v>
      </c>
      <c r="M921" s="5" t="str">
        <f>IFERROR(__xludf.DUMMYFUNCTION("""COMPUTED_VALUE"""),"Europe &amp; Central Asia")</f>
        <v>Europe &amp; Central Asia</v>
      </c>
      <c r="N921" s="5" t="str">
        <f>IFERROR(__xludf.DUMMYFUNCTION("""COMPUTED_VALUE"""),"Eastern Europe")</f>
        <v>Eastern Europe</v>
      </c>
      <c r="O921" s="5" t="str">
        <f>IFERROR(__xludf.DUMMYFUNCTION("""COMPUTED_VALUE"""),"developed")</f>
        <v>developed</v>
      </c>
      <c r="P921" s="5"/>
      <c r="Q921" s="5"/>
    </row>
    <row r="922">
      <c r="A922" s="5" t="str">
        <f>IFERROR(__xludf.DUMMYFUNCTION("""COMPUTED_VALUE"""),"Outbound")</f>
        <v>Outbound</v>
      </c>
      <c r="B922" s="5">
        <f>IFERROR(__xludf.DUMMYFUNCTION("""COMPUTED_VALUE"""),195.0)</f>
        <v>195</v>
      </c>
      <c r="C922" s="5" t="str">
        <f>IFERROR(__xludf.DUMMYFUNCTION("""COMPUTED_VALUE"""),"LADY AYANA")</f>
        <v>LADY AYANA</v>
      </c>
      <c r="D922" s="5">
        <f>IFERROR(__xludf.DUMMYFUNCTION("""COMPUTED_VALUE"""),9196395.0)</f>
        <v>9196395</v>
      </c>
      <c r="E922" s="5" t="str">
        <f>IFERROR(__xludf.DUMMYFUNCTION("""COMPUTED_VALUE"""),"Chornomorsk")</f>
        <v>Chornomorsk</v>
      </c>
      <c r="F922" s="5" t="str">
        <f>IFERROR(__xludf.DUMMYFUNCTION("""COMPUTED_VALUE"""),"Italy")</f>
        <v>Italy</v>
      </c>
      <c r="G922" s="5" t="str">
        <f>IFERROR(__xludf.DUMMYFUNCTION("""COMPUTED_VALUE"""),"Corn")</f>
        <v>Corn</v>
      </c>
      <c r="H922" s="6">
        <f>IFERROR(__xludf.DUMMYFUNCTION("""COMPUTED_VALUE"""),27000.0)</f>
        <v>27000</v>
      </c>
      <c r="I922" s="7">
        <f>IFERROR(__xludf.DUMMYFUNCTION("""COMPUTED_VALUE"""),44827.0)</f>
        <v>44827</v>
      </c>
      <c r="J922" s="7">
        <f>IFERROR(__xludf.DUMMYFUNCTION("""COMPUTED_VALUE"""),44848.0)</f>
        <v>44848</v>
      </c>
      <c r="K922" s="5" t="str">
        <f>IFERROR(__xludf.DUMMYFUNCTION("""COMPUTED_VALUE"""),"high-income")</f>
        <v>high-income</v>
      </c>
      <c r="L922" s="5" t="str">
        <f>IFERROR(__xludf.DUMMYFUNCTION("""COMPUTED_VALUE"""),"Barbados")</f>
        <v>Barbados</v>
      </c>
      <c r="M922" s="5" t="str">
        <f>IFERROR(__xludf.DUMMYFUNCTION("""COMPUTED_VALUE"""),"Europe &amp; Central Asia")</f>
        <v>Europe &amp; Central Asia</v>
      </c>
      <c r="N922" s="5" t="str">
        <f>IFERROR(__xludf.DUMMYFUNCTION("""COMPUTED_VALUE"""),"Western Europe and Others")</f>
        <v>Western Europe and Others</v>
      </c>
      <c r="O922" s="5" t="str">
        <f>IFERROR(__xludf.DUMMYFUNCTION("""COMPUTED_VALUE"""),"developed")</f>
        <v>developed</v>
      </c>
      <c r="P922" s="5"/>
      <c r="Q922" s="5"/>
    </row>
    <row r="923">
      <c r="A923" s="5" t="str">
        <f>IFERROR(__xludf.DUMMYFUNCTION("""COMPUTED_VALUE"""),"Outbound")</f>
        <v>Outbound</v>
      </c>
      <c r="B923" s="5">
        <f>IFERROR(__xludf.DUMMYFUNCTION("""COMPUTED_VALUE"""),194.0)</f>
        <v>194</v>
      </c>
      <c r="C923" s="5" t="str">
        <f>IFERROR(__xludf.DUMMYFUNCTION("""COMPUTED_VALUE"""),"GUDENA")</f>
        <v>GUDENA</v>
      </c>
      <c r="D923" s="5">
        <f>IFERROR(__xludf.DUMMYFUNCTION("""COMPUTED_VALUE"""),9280196.0)</f>
        <v>9280196</v>
      </c>
      <c r="E923" s="5" t="str">
        <f>IFERROR(__xludf.DUMMYFUNCTION("""COMPUTED_VALUE"""),"Chornomorsk")</f>
        <v>Chornomorsk</v>
      </c>
      <c r="F923" s="5" t="str">
        <f>IFERROR(__xludf.DUMMYFUNCTION("""COMPUTED_VALUE"""),"Türkiye")</f>
        <v>Türkiye</v>
      </c>
      <c r="G923" s="5" t="str">
        <f>IFERROR(__xludf.DUMMYFUNCTION("""COMPUTED_VALUE"""),"Sunflower oil")</f>
        <v>Sunflower oil</v>
      </c>
      <c r="H923" s="6">
        <f>IFERROR(__xludf.DUMMYFUNCTION("""COMPUTED_VALUE"""),3860.0)</f>
        <v>3860</v>
      </c>
      <c r="I923" s="7">
        <f>IFERROR(__xludf.DUMMYFUNCTION("""COMPUTED_VALUE"""),44827.0)</f>
        <v>44827</v>
      </c>
      <c r="J923" s="7">
        <f>IFERROR(__xludf.DUMMYFUNCTION("""COMPUTED_VALUE"""),44838.0)</f>
        <v>44838</v>
      </c>
      <c r="K923" s="5" t="str">
        <f>IFERROR(__xludf.DUMMYFUNCTION("""COMPUTED_VALUE"""),"upper-middle-income")</f>
        <v>upper-middle-income</v>
      </c>
      <c r="L923" s="5" t="str">
        <f>IFERROR(__xludf.DUMMYFUNCTION("""COMPUTED_VALUE"""),"Panama")</f>
        <v>Panama</v>
      </c>
      <c r="M923" s="5" t="str">
        <f>IFERROR(__xludf.DUMMYFUNCTION("""COMPUTED_VALUE"""),"Europe &amp; Central Asia")</f>
        <v>Europe &amp; Central Asia</v>
      </c>
      <c r="N923" s="5" t="str">
        <f>IFERROR(__xludf.DUMMYFUNCTION("""COMPUTED_VALUE"""),"Asia-Pacific")</f>
        <v>Asia-Pacific</v>
      </c>
      <c r="O923" s="5" t="str">
        <f>IFERROR(__xludf.DUMMYFUNCTION("""COMPUTED_VALUE"""),"developing")</f>
        <v>developing</v>
      </c>
      <c r="P923" s="5"/>
      <c r="Q923" s="5"/>
    </row>
    <row r="924">
      <c r="A924" s="5" t="str">
        <f>IFERROR(__xludf.DUMMYFUNCTION("""COMPUTED_VALUE"""),"Outbound")</f>
        <v>Outbound</v>
      </c>
      <c r="B924" s="5">
        <f>IFERROR(__xludf.DUMMYFUNCTION("""COMPUTED_VALUE"""),193.0)</f>
        <v>193</v>
      </c>
      <c r="C924" s="5" t="str">
        <f>IFERROR(__xludf.DUMMYFUNCTION("""COMPUTED_VALUE"""),"GEM STAR")</f>
        <v>GEM STAR</v>
      </c>
      <c r="D924" s="5">
        <f>IFERROR(__xludf.DUMMYFUNCTION("""COMPUTED_VALUE"""),9496173.0)</f>
        <v>9496173</v>
      </c>
      <c r="E924" s="5" t="str">
        <f>IFERROR(__xludf.DUMMYFUNCTION("""COMPUTED_VALUE"""),"Yuzhny/Pivdennyi")</f>
        <v>Yuzhny/Pivdennyi</v>
      </c>
      <c r="F924" s="5" t="str">
        <f>IFERROR(__xludf.DUMMYFUNCTION("""COMPUTED_VALUE"""),"The Netherlands")</f>
        <v>The Netherlands</v>
      </c>
      <c r="G924" s="5" t="str">
        <f>IFERROR(__xludf.DUMMYFUNCTION("""COMPUTED_VALUE"""),"Corn")</f>
        <v>Corn</v>
      </c>
      <c r="H924" s="6">
        <f>IFERROR(__xludf.DUMMYFUNCTION("""COMPUTED_VALUE"""),31039.0)</f>
        <v>31039</v>
      </c>
      <c r="I924" s="7">
        <f>IFERROR(__xludf.DUMMYFUNCTION("""COMPUTED_VALUE"""),44827.0)</f>
        <v>44827</v>
      </c>
      <c r="J924" s="7">
        <f>IFERROR(__xludf.DUMMYFUNCTION("""COMPUTED_VALUE"""),44844.0)</f>
        <v>44844</v>
      </c>
      <c r="K924" s="5" t="str">
        <f>IFERROR(__xludf.DUMMYFUNCTION("""COMPUTED_VALUE"""),"high-income")</f>
        <v>high-income</v>
      </c>
      <c r="L924" s="5" t="str">
        <f>IFERROR(__xludf.DUMMYFUNCTION("""COMPUTED_VALUE"""),"Panama")</f>
        <v>Panama</v>
      </c>
      <c r="M924" s="5" t="str">
        <f>IFERROR(__xludf.DUMMYFUNCTION("""COMPUTED_VALUE"""),"Europe &amp; Central Asia")</f>
        <v>Europe &amp; Central Asia</v>
      </c>
      <c r="N924" s="5" t="str">
        <f>IFERROR(__xludf.DUMMYFUNCTION("""COMPUTED_VALUE"""),"Western Europe and Others")</f>
        <v>Western Europe and Others</v>
      </c>
      <c r="O924" s="5" t="str">
        <f>IFERROR(__xludf.DUMMYFUNCTION("""COMPUTED_VALUE"""),"developed")</f>
        <v>developed</v>
      </c>
      <c r="P924" s="5"/>
      <c r="Q924" s="5"/>
    </row>
    <row r="925">
      <c r="A925" s="5" t="str">
        <f>IFERROR(__xludf.DUMMYFUNCTION("""COMPUTED_VALUE"""),"Outbound")</f>
        <v>Outbound</v>
      </c>
      <c r="B925" s="5">
        <f>IFERROR(__xludf.DUMMYFUNCTION("""COMPUTED_VALUE"""),192.0)</f>
        <v>192</v>
      </c>
      <c r="C925" s="5" t="str">
        <f>IFERROR(__xludf.DUMMYFUNCTION("""COMPUTED_VALUE"""),"FORTUNA")</f>
        <v>FORTUNA</v>
      </c>
      <c r="D925" s="5">
        <f>IFERROR(__xludf.DUMMYFUNCTION("""COMPUTED_VALUE"""),9118252.0)</f>
        <v>9118252</v>
      </c>
      <c r="E925" s="5" t="str">
        <f>IFERROR(__xludf.DUMMYFUNCTION("""COMPUTED_VALUE"""),"Yuzhny/Pivdennyi")</f>
        <v>Yuzhny/Pivdennyi</v>
      </c>
      <c r="F925" s="5" t="str">
        <f>IFERROR(__xludf.DUMMYFUNCTION("""COMPUTED_VALUE"""),"France")</f>
        <v>France</v>
      </c>
      <c r="G925" s="5" t="str">
        <f>IFERROR(__xludf.DUMMYFUNCTION("""COMPUTED_VALUE"""),"Sunflower meal")</f>
        <v>Sunflower meal</v>
      </c>
      <c r="H925" s="6">
        <f>IFERROR(__xludf.DUMMYFUNCTION("""COMPUTED_VALUE"""),10252.0)</f>
        <v>10252</v>
      </c>
      <c r="I925" s="7">
        <f>IFERROR(__xludf.DUMMYFUNCTION("""COMPUTED_VALUE"""),44827.0)</f>
        <v>44827</v>
      </c>
      <c r="J925" s="7">
        <f>IFERROR(__xludf.DUMMYFUNCTION("""COMPUTED_VALUE"""),44840.0)</f>
        <v>44840</v>
      </c>
      <c r="K925" s="5" t="str">
        <f>IFERROR(__xludf.DUMMYFUNCTION("""COMPUTED_VALUE"""),"high-income")</f>
        <v>high-income</v>
      </c>
      <c r="L925" s="5" t="str">
        <f>IFERROR(__xludf.DUMMYFUNCTION("""COMPUTED_VALUE"""),"Barbados")</f>
        <v>Barbados</v>
      </c>
      <c r="M925" s="5" t="str">
        <f>IFERROR(__xludf.DUMMYFUNCTION("""COMPUTED_VALUE"""),"Europe &amp; Central Asia")</f>
        <v>Europe &amp; Central Asia</v>
      </c>
      <c r="N925" s="5" t="str">
        <f>IFERROR(__xludf.DUMMYFUNCTION("""COMPUTED_VALUE"""),"Western Europe and Others")</f>
        <v>Western Europe and Others</v>
      </c>
      <c r="O925" s="5" t="str">
        <f>IFERROR(__xludf.DUMMYFUNCTION("""COMPUTED_VALUE"""),"developed")</f>
        <v>developed</v>
      </c>
      <c r="P925" s="5"/>
      <c r="Q925" s="5"/>
    </row>
    <row r="926">
      <c r="A926" s="5" t="str">
        <f>IFERROR(__xludf.DUMMYFUNCTION("""COMPUTED_VALUE"""),"Outbound")</f>
        <v>Outbound</v>
      </c>
      <c r="B926" s="5">
        <f>IFERROR(__xludf.DUMMYFUNCTION("""COMPUTED_VALUE"""),191.0)</f>
        <v>191</v>
      </c>
      <c r="C926" s="5" t="str">
        <f>IFERROR(__xludf.DUMMYFUNCTION("""COMPUTED_VALUE"""),"ORIS MARINE")</f>
        <v>ORIS MARINE</v>
      </c>
      <c r="D926" s="5">
        <f>IFERROR(__xludf.DUMMYFUNCTION("""COMPUTED_VALUE"""),9179488.0)</f>
        <v>9179488</v>
      </c>
      <c r="E926" s="5" t="str">
        <f>IFERROR(__xludf.DUMMYFUNCTION("""COMPUTED_VALUE"""),"Odesa")</f>
        <v>Odesa</v>
      </c>
      <c r="F926" s="5" t="str">
        <f>IFERROR(__xludf.DUMMYFUNCTION("""COMPUTED_VALUE"""),"Türkiye")</f>
        <v>Türkiye</v>
      </c>
      <c r="G926" s="5" t="str">
        <f>IFERROR(__xludf.DUMMYFUNCTION("""COMPUTED_VALUE"""),"Sunflower oil")</f>
        <v>Sunflower oil</v>
      </c>
      <c r="H926" s="6">
        <f>IFERROR(__xludf.DUMMYFUNCTION("""COMPUTED_VALUE"""),3500.0)</f>
        <v>3500</v>
      </c>
      <c r="I926" s="7">
        <f>IFERROR(__xludf.DUMMYFUNCTION("""COMPUTED_VALUE"""),44826.0)</f>
        <v>44826</v>
      </c>
      <c r="J926" s="7">
        <f>IFERROR(__xludf.DUMMYFUNCTION("""COMPUTED_VALUE"""),44836.0)</f>
        <v>44836</v>
      </c>
      <c r="K926" s="5" t="str">
        <f>IFERROR(__xludf.DUMMYFUNCTION("""COMPUTED_VALUE"""),"upper-middle-income")</f>
        <v>upper-middle-income</v>
      </c>
      <c r="L926" s="5" t="str">
        <f>IFERROR(__xludf.DUMMYFUNCTION("""COMPUTED_VALUE"""),"Liberia")</f>
        <v>Liberia</v>
      </c>
      <c r="M926" s="5" t="str">
        <f>IFERROR(__xludf.DUMMYFUNCTION("""COMPUTED_VALUE"""),"Europe &amp; Central Asia")</f>
        <v>Europe &amp; Central Asia</v>
      </c>
      <c r="N926" s="5" t="str">
        <f>IFERROR(__xludf.DUMMYFUNCTION("""COMPUTED_VALUE"""),"Asia-Pacific")</f>
        <v>Asia-Pacific</v>
      </c>
      <c r="O926" s="5" t="str">
        <f>IFERROR(__xludf.DUMMYFUNCTION("""COMPUTED_VALUE"""),"developing")</f>
        <v>developing</v>
      </c>
      <c r="P926" s="5"/>
      <c r="Q926" s="5"/>
    </row>
    <row r="927">
      <c r="A927" s="5" t="str">
        <f>IFERROR(__xludf.DUMMYFUNCTION("""COMPUTED_VALUE"""),"Outbound")</f>
        <v>Outbound</v>
      </c>
      <c r="B927" s="5">
        <f>IFERROR(__xludf.DUMMYFUNCTION("""COMPUTED_VALUE"""),190.0)</f>
        <v>190</v>
      </c>
      <c r="C927" s="5" t="str">
        <f>IFERROR(__xludf.DUMMYFUNCTION("""COMPUTED_VALUE"""),"MOHAMAD Y")</f>
        <v>MOHAMAD Y</v>
      </c>
      <c r="D927" s="5">
        <f>IFERROR(__xludf.DUMMYFUNCTION("""COMPUTED_VALUE"""),8107000.0)</f>
        <v>8107000</v>
      </c>
      <c r="E927" s="5" t="str">
        <f>IFERROR(__xludf.DUMMYFUNCTION("""COMPUTED_VALUE"""),"Odesa")</f>
        <v>Odesa</v>
      </c>
      <c r="F927" s="5" t="str">
        <f>IFERROR(__xludf.DUMMYFUNCTION("""COMPUTED_VALUE"""),"Türkiye")</f>
        <v>Türkiye</v>
      </c>
      <c r="G927" s="5" t="str">
        <f>IFERROR(__xludf.DUMMYFUNCTION("""COMPUTED_VALUE"""),"Wheat")</f>
        <v>Wheat</v>
      </c>
      <c r="H927" s="6">
        <f>IFERROR(__xludf.DUMMYFUNCTION("""COMPUTED_VALUE"""),11000.0)</f>
        <v>11000</v>
      </c>
      <c r="I927" s="7">
        <f>IFERROR(__xludf.DUMMYFUNCTION("""COMPUTED_VALUE"""),44826.0)</f>
        <v>44826</v>
      </c>
      <c r="J927" s="7">
        <f>IFERROR(__xludf.DUMMYFUNCTION("""COMPUTED_VALUE"""),44837.0)</f>
        <v>44837</v>
      </c>
      <c r="K927" s="5" t="str">
        <f>IFERROR(__xludf.DUMMYFUNCTION("""COMPUTED_VALUE"""),"upper-middle-income")</f>
        <v>upper-middle-income</v>
      </c>
      <c r="L927" s="5" t="str">
        <f>IFERROR(__xludf.DUMMYFUNCTION("""COMPUTED_VALUE"""),"St. Kitts and Nevis")</f>
        <v>St. Kitts and Nevis</v>
      </c>
      <c r="M927" s="5" t="str">
        <f>IFERROR(__xludf.DUMMYFUNCTION("""COMPUTED_VALUE"""),"Europe &amp; Central Asia")</f>
        <v>Europe &amp; Central Asia</v>
      </c>
      <c r="N927" s="5" t="str">
        <f>IFERROR(__xludf.DUMMYFUNCTION("""COMPUTED_VALUE"""),"Asia-Pacific")</f>
        <v>Asia-Pacific</v>
      </c>
      <c r="O927" s="5" t="str">
        <f>IFERROR(__xludf.DUMMYFUNCTION("""COMPUTED_VALUE"""),"developing")</f>
        <v>developing</v>
      </c>
      <c r="P927" s="5"/>
      <c r="Q927" s="5"/>
    </row>
    <row r="928">
      <c r="A928" s="5" t="str">
        <f>IFERROR(__xludf.DUMMYFUNCTION("""COMPUTED_VALUE"""),"Outbound")</f>
        <v>Outbound</v>
      </c>
      <c r="B928" s="5">
        <f>IFERROR(__xludf.DUMMYFUNCTION("""COMPUTED_VALUE"""),189.0)</f>
        <v>189</v>
      </c>
      <c r="C928" s="5" t="str">
        <f>IFERROR(__xludf.DUMMYFUNCTION("""COMPUTED_VALUE"""),"ELLIE M")</f>
        <v>ELLIE M</v>
      </c>
      <c r="D928" s="5">
        <f>IFERROR(__xludf.DUMMYFUNCTION("""COMPUTED_VALUE"""),9235854.0)</f>
        <v>9235854</v>
      </c>
      <c r="E928" s="5" t="str">
        <f>IFERROR(__xludf.DUMMYFUNCTION("""COMPUTED_VALUE"""),"Chornomorsk")</f>
        <v>Chornomorsk</v>
      </c>
      <c r="F928" s="5" t="str">
        <f>IFERROR(__xludf.DUMMYFUNCTION("""COMPUTED_VALUE"""),"Spain")</f>
        <v>Spain</v>
      </c>
      <c r="G928" s="5" t="str">
        <f>IFERROR(__xludf.DUMMYFUNCTION("""COMPUTED_VALUE"""),"Corn")</f>
        <v>Corn</v>
      </c>
      <c r="H928" s="6">
        <f>IFERROR(__xludf.DUMMYFUNCTION("""COMPUTED_VALUE"""),50220.0)</f>
        <v>50220</v>
      </c>
      <c r="I928" s="7">
        <f>IFERROR(__xludf.DUMMYFUNCTION("""COMPUTED_VALUE"""),44826.0)</f>
        <v>44826</v>
      </c>
      <c r="J928" s="7">
        <f>IFERROR(__xludf.DUMMYFUNCTION("""COMPUTED_VALUE"""),44844.0)</f>
        <v>44844</v>
      </c>
      <c r="K928" s="5" t="str">
        <f>IFERROR(__xludf.DUMMYFUNCTION("""COMPUTED_VALUE"""),"high-income")</f>
        <v>high-income</v>
      </c>
      <c r="L928" s="5" t="str">
        <f>IFERROR(__xludf.DUMMYFUNCTION("""COMPUTED_VALUE"""),"Marshall Islands")</f>
        <v>Marshall Islands</v>
      </c>
      <c r="M928" s="5" t="str">
        <f>IFERROR(__xludf.DUMMYFUNCTION("""COMPUTED_VALUE"""),"Europe &amp; Central Asia")</f>
        <v>Europe &amp; Central Asia</v>
      </c>
      <c r="N928" s="5" t="str">
        <f>IFERROR(__xludf.DUMMYFUNCTION("""COMPUTED_VALUE"""),"Western Europe and Others")</f>
        <v>Western Europe and Others</v>
      </c>
      <c r="O928" s="5" t="str">
        <f>IFERROR(__xludf.DUMMYFUNCTION("""COMPUTED_VALUE"""),"developed")</f>
        <v>developed</v>
      </c>
      <c r="P928" s="5"/>
      <c r="Q928" s="5"/>
    </row>
    <row r="929">
      <c r="A929" s="5" t="str">
        <f>IFERROR(__xludf.DUMMYFUNCTION("""COMPUTED_VALUE"""),"Outbound")</f>
        <v>Outbound</v>
      </c>
      <c r="B929" s="5">
        <f>IFERROR(__xludf.DUMMYFUNCTION("""COMPUTED_VALUE"""),188.0)</f>
        <v>188</v>
      </c>
      <c r="C929" s="5" t="str">
        <f>IFERROR(__xludf.DUMMYFUNCTION("""COMPUTED_VALUE"""),"BC VANESSA (WFP)")</f>
        <v>BC VANESSA (WFP)</v>
      </c>
      <c r="D929" s="5">
        <f>IFERROR(__xludf.DUMMYFUNCTION("""COMPUTED_VALUE"""),9426855.0)</f>
        <v>9426855</v>
      </c>
      <c r="E929" s="5" t="str">
        <f>IFERROR(__xludf.DUMMYFUNCTION("""COMPUTED_VALUE"""),"Odesa")</f>
        <v>Odesa</v>
      </c>
      <c r="F929" s="5" t="str">
        <f>IFERROR(__xludf.DUMMYFUNCTION("""COMPUTED_VALUE"""),"Afghanistan")</f>
        <v>Afghanistan</v>
      </c>
      <c r="G929" s="5" t="str">
        <f>IFERROR(__xludf.DUMMYFUNCTION("""COMPUTED_VALUE"""),"Wheat")</f>
        <v>Wheat</v>
      </c>
      <c r="H929" s="6">
        <f>IFERROR(__xludf.DUMMYFUNCTION("""COMPUTED_VALUE"""),30000.0)</f>
        <v>30000</v>
      </c>
      <c r="I929" s="7">
        <f>IFERROR(__xludf.DUMMYFUNCTION("""COMPUTED_VALUE"""),44826.0)</f>
        <v>44826</v>
      </c>
      <c r="J929" s="7">
        <f>IFERROR(__xludf.DUMMYFUNCTION("""COMPUTED_VALUE"""),44832.0)</f>
        <v>44832</v>
      </c>
      <c r="K929" s="5" t="str">
        <f>IFERROR(__xludf.DUMMYFUNCTION("""COMPUTED_VALUE"""),"low-income")</f>
        <v>low-income</v>
      </c>
      <c r="L929" s="5" t="str">
        <f>IFERROR(__xludf.DUMMYFUNCTION("""COMPUTED_VALUE"""),"Barbados")</f>
        <v>Barbados</v>
      </c>
      <c r="M929" s="5" t="str">
        <f>IFERROR(__xludf.DUMMYFUNCTION("""COMPUTED_VALUE"""),"South Asia")</f>
        <v>South Asia</v>
      </c>
      <c r="N929" s="5" t="str">
        <f>IFERROR(__xludf.DUMMYFUNCTION("""COMPUTED_VALUE"""),"Asia-Pacific")</f>
        <v>Asia-Pacific</v>
      </c>
      <c r="O929" s="5" t="str">
        <f>IFERROR(__xludf.DUMMYFUNCTION("""COMPUTED_VALUE"""),"developing")</f>
        <v>developing</v>
      </c>
      <c r="P929" s="5" t="str">
        <f>IFERROR(__xludf.DUMMYFUNCTION("""COMPUTED_VALUE"""),"WFP")</f>
        <v>WFP</v>
      </c>
      <c r="Q929" s="5"/>
    </row>
    <row r="930">
      <c r="A930" s="5" t="str">
        <f>IFERROR(__xludf.DUMMYFUNCTION("""COMPUTED_VALUE"""),"Outbound")</f>
        <v>Outbound</v>
      </c>
      <c r="B930" s="5">
        <f>IFERROR(__xludf.DUMMYFUNCTION("""COMPUTED_VALUE"""),187.0)</f>
        <v>187</v>
      </c>
      <c r="C930" s="5" t="str">
        <f>IFERROR(__xludf.DUMMYFUNCTION("""COMPUTED_VALUE"""),"ANT")</f>
        <v>ANT</v>
      </c>
      <c r="D930" s="5">
        <f>IFERROR(__xludf.DUMMYFUNCTION("""COMPUTED_VALUE"""),9412311.0)</f>
        <v>9412311</v>
      </c>
      <c r="E930" s="5" t="str">
        <f>IFERROR(__xludf.DUMMYFUNCTION("""COMPUTED_VALUE"""),"Odesa")</f>
        <v>Odesa</v>
      </c>
      <c r="F930" s="5" t="str">
        <f>IFERROR(__xludf.DUMMYFUNCTION("""COMPUTED_VALUE"""),"Türkiye")</f>
        <v>Türkiye</v>
      </c>
      <c r="G930" s="5" t="str">
        <f>IFERROR(__xludf.DUMMYFUNCTION("""COMPUTED_VALUE"""),"Barley")</f>
        <v>Barley</v>
      </c>
      <c r="H930" s="6">
        <f>IFERROR(__xludf.DUMMYFUNCTION("""COMPUTED_VALUE"""),4500.0)</f>
        <v>4500</v>
      </c>
      <c r="I930" s="7">
        <f>IFERROR(__xludf.DUMMYFUNCTION("""COMPUTED_VALUE"""),44826.0)</f>
        <v>44826</v>
      </c>
      <c r="J930" s="7">
        <f>IFERROR(__xludf.DUMMYFUNCTION("""COMPUTED_VALUE"""),44838.0)</f>
        <v>44838</v>
      </c>
      <c r="K930" s="5" t="str">
        <f>IFERROR(__xludf.DUMMYFUNCTION("""COMPUTED_VALUE"""),"upper-middle-income")</f>
        <v>upper-middle-income</v>
      </c>
      <c r="L930" s="5" t="str">
        <f>IFERROR(__xludf.DUMMYFUNCTION("""COMPUTED_VALUE"""),"Vanuatu")</f>
        <v>Vanuatu</v>
      </c>
      <c r="M930" s="5" t="str">
        <f>IFERROR(__xludf.DUMMYFUNCTION("""COMPUTED_VALUE"""),"Europe &amp; Central Asia")</f>
        <v>Europe &amp; Central Asia</v>
      </c>
      <c r="N930" s="5" t="str">
        <f>IFERROR(__xludf.DUMMYFUNCTION("""COMPUTED_VALUE"""),"Asia-Pacific")</f>
        <v>Asia-Pacific</v>
      </c>
      <c r="O930" s="5" t="str">
        <f>IFERROR(__xludf.DUMMYFUNCTION("""COMPUTED_VALUE"""),"developing")</f>
        <v>developing</v>
      </c>
      <c r="P930" s="5"/>
      <c r="Q930" s="5"/>
    </row>
    <row r="931">
      <c r="A931" s="5" t="str">
        <f>IFERROR(__xludf.DUMMYFUNCTION("""COMPUTED_VALUE"""),"Outbound")</f>
        <v>Outbound</v>
      </c>
      <c r="B931" s="5">
        <f>IFERROR(__xludf.DUMMYFUNCTION("""COMPUTED_VALUE"""),186.0)</f>
        <v>186</v>
      </c>
      <c r="C931" s="5" t="str">
        <f>IFERROR(__xludf.DUMMYFUNCTION("""COMPUTED_VALUE"""),"ALSU")</f>
        <v>ALSU</v>
      </c>
      <c r="D931" s="5">
        <f>IFERROR(__xludf.DUMMYFUNCTION("""COMPUTED_VALUE"""),9808742.0)</f>
        <v>9808742</v>
      </c>
      <c r="E931" s="5" t="str">
        <f>IFERROR(__xludf.DUMMYFUNCTION("""COMPUTED_VALUE"""),"Yuzhny/Pivdennyi")</f>
        <v>Yuzhny/Pivdennyi</v>
      </c>
      <c r="F931" s="5" t="str">
        <f>IFERROR(__xludf.DUMMYFUNCTION("""COMPUTED_VALUE"""),"Egypt")</f>
        <v>Egypt</v>
      </c>
      <c r="G931" s="5" t="str">
        <f>IFERROR(__xludf.DUMMYFUNCTION("""COMPUTED_VALUE"""),"Sunflower oil")</f>
        <v>Sunflower oil</v>
      </c>
      <c r="H931" s="6">
        <f>IFERROR(__xludf.DUMMYFUNCTION("""COMPUTED_VALUE"""),3100.0)</f>
        <v>3100</v>
      </c>
      <c r="I931" s="7">
        <f>IFERROR(__xludf.DUMMYFUNCTION("""COMPUTED_VALUE"""),44826.0)</f>
        <v>44826</v>
      </c>
      <c r="J931" s="7">
        <f>IFERROR(__xludf.DUMMYFUNCTION("""COMPUTED_VALUE"""),44837.0)</f>
        <v>44837</v>
      </c>
      <c r="K931" s="5" t="str">
        <f>IFERROR(__xludf.DUMMYFUNCTION("""COMPUTED_VALUE"""),"lower-middle income")</f>
        <v>lower-middle income</v>
      </c>
      <c r="L931" s="5" t="str">
        <f>IFERROR(__xludf.DUMMYFUNCTION("""COMPUTED_VALUE"""),"Türkiye")</f>
        <v>Türkiye</v>
      </c>
      <c r="M931" s="5" t="str">
        <f>IFERROR(__xludf.DUMMYFUNCTION("""COMPUTED_VALUE"""),"Middle East &amp; North Africa")</f>
        <v>Middle East &amp; North Africa</v>
      </c>
      <c r="N931" s="5" t="str">
        <f>IFERROR(__xludf.DUMMYFUNCTION("""COMPUTED_VALUE"""),"Africa")</f>
        <v>Africa</v>
      </c>
      <c r="O931" s="5" t="str">
        <f>IFERROR(__xludf.DUMMYFUNCTION("""COMPUTED_VALUE"""),"developing")</f>
        <v>developing</v>
      </c>
      <c r="P931" s="5"/>
      <c r="Q931" s="5"/>
    </row>
    <row r="932">
      <c r="A932" s="5" t="str">
        <f>IFERROR(__xludf.DUMMYFUNCTION("""COMPUTED_VALUE"""),"Outbound")</f>
        <v>Outbound</v>
      </c>
      <c r="B932" s="5">
        <f>IFERROR(__xludf.DUMMYFUNCTION("""COMPUTED_VALUE"""),185.0)</f>
        <v>185</v>
      </c>
      <c r="C932" s="5" t="str">
        <f>IFERROR(__xludf.DUMMYFUNCTION("""COMPUTED_VALUE"""),"SWIMMER")</f>
        <v>SWIMMER</v>
      </c>
      <c r="D932" s="5">
        <f>IFERROR(__xludf.DUMMYFUNCTION("""COMPUTED_VALUE"""),9033713.0)</f>
        <v>9033713</v>
      </c>
      <c r="E932" s="5" t="str">
        <f>IFERROR(__xludf.DUMMYFUNCTION("""COMPUTED_VALUE"""),"Chornomorsk")</f>
        <v>Chornomorsk</v>
      </c>
      <c r="F932" s="5" t="str">
        <f>IFERROR(__xludf.DUMMYFUNCTION("""COMPUTED_VALUE"""),"Türkiye")</f>
        <v>Türkiye</v>
      </c>
      <c r="G932" s="5" t="str">
        <f>IFERROR(__xludf.DUMMYFUNCTION("""COMPUTED_VALUE"""),"Sunflower meal")</f>
        <v>Sunflower meal</v>
      </c>
      <c r="H932" s="6">
        <f>IFERROR(__xludf.DUMMYFUNCTION("""COMPUTED_VALUE"""),2950.0)</f>
        <v>2950</v>
      </c>
      <c r="I932" s="7">
        <f>IFERROR(__xludf.DUMMYFUNCTION("""COMPUTED_VALUE"""),44825.0)</f>
        <v>44825</v>
      </c>
      <c r="J932" s="7">
        <f>IFERROR(__xludf.DUMMYFUNCTION("""COMPUTED_VALUE"""),44840.0)</f>
        <v>44840</v>
      </c>
      <c r="K932" s="5" t="str">
        <f>IFERROR(__xludf.DUMMYFUNCTION("""COMPUTED_VALUE"""),"upper-middle-income")</f>
        <v>upper-middle-income</v>
      </c>
      <c r="L932" s="5" t="str">
        <f>IFERROR(__xludf.DUMMYFUNCTION("""COMPUTED_VALUE"""),"Panama")</f>
        <v>Panama</v>
      </c>
      <c r="M932" s="5" t="str">
        <f>IFERROR(__xludf.DUMMYFUNCTION("""COMPUTED_VALUE"""),"Europe &amp; Central Asia")</f>
        <v>Europe &amp; Central Asia</v>
      </c>
      <c r="N932" s="5" t="str">
        <f>IFERROR(__xludf.DUMMYFUNCTION("""COMPUTED_VALUE"""),"Asia-Pacific")</f>
        <v>Asia-Pacific</v>
      </c>
      <c r="O932" s="5" t="str">
        <f>IFERROR(__xludf.DUMMYFUNCTION("""COMPUTED_VALUE"""),"developing")</f>
        <v>developing</v>
      </c>
      <c r="P932" s="5"/>
      <c r="Q932" s="5"/>
    </row>
    <row r="933">
      <c r="A933" s="5" t="str">
        <f>IFERROR(__xludf.DUMMYFUNCTION("""COMPUTED_VALUE"""),"Outbound")</f>
        <v>Outbound</v>
      </c>
      <c r="B933" s="5">
        <f>IFERROR(__xludf.DUMMYFUNCTION("""COMPUTED_VALUE"""),184.0)</f>
        <v>184</v>
      </c>
      <c r="C933" s="5" t="str">
        <f>IFERROR(__xludf.DUMMYFUNCTION("""COMPUTED_VALUE"""),"SEA INSPIRATION")</f>
        <v>SEA INSPIRATION</v>
      </c>
      <c r="D933" s="5">
        <f>IFERROR(__xludf.DUMMYFUNCTION("""COMPUTED_VALUE"""),9604782.0)</f>
        <v>9604782</v>
      </c>
      <c r="E933" s="5" t="str">
        <f>IFERROR(__xludf.DUMMYFUNCTION("""COMPUTED_VALUE"""),"Odesa")</f>
        <v>Odesa</v>
      </c>
      <c r="F933" s="5" t="str">
        <f>IFERROR(__xludf.DUMMYFUNCTION("""COMPUTED_VALUE"""),"Spain")</f>
        <v>Spain</v>
      </c>
      <c r="G933" s="5" t="str">
        <f>IFERROR(__xludf.DUMMYFUNCTION("""COMPUTED_VALUE"""),"Wheat")</f>
        <v>Wheat</v>
      </c>
      <c r="H933" s="6">
        <f>IFERROR(__xludf.DUMMYFUNCTION("""COMPUTED_VALUE"""),6000.0)</f>
        <v>6000</v>
      </c>
      <c r="I933" s="7">
        <f>IFERROR(__xludf.DUMMYFUNCTION("""COMPUTED_VALUE"""),44825.0)</f>
        <v>44825</v>
      </c>
      <c r="J933" s="7">
        <f>IFERROR(__xludf.DUMMYFUNCTION("""COMPUTED_VALUE"""),44835.0)</f>
        <v>44835</v>
      </c>
      <c r="K933" s="5" t="str">
        <f>IFERROR(__xludf.DUMMYFUNCTION("""COMPUTED_VALUE"""),"high-income")</f>
        <v>high-income</v>
      </c>
      <c r="L933" s="5" t="str">
        <f>IFERROR(__xludf.DUMMYFUNCTION("""COMPUTED_VALUE"""),"Panama")</f>
        <v>Panama</v>
      </c>
      <c r="M933" s="5" t="str">
        <f>IFERROR(__xludf.DUMMYFUNCTION("""COMPUTED_VALUE"""),"Europe &amp; Central Asia")</f>
        <v>Europe &amp; Central Asia</v>
      </c>
      <c r="N933" s="5" t="str">
        <f>IFERROR(__xludf.DUMMYFUNCTION("""COMPUTED_VALUE"""),"Western Europe and Others")</f>
        <v>Western Europe and Others</v>
      </c>
      <c r="O933" s="5" t="str">
        <f>IFERROR(__xludf.DUMMYFUNCTION("""COMPUTED_VALUE"""),"developed")</f>
        <v>developed</v>
      </c>
      <c r="P933" s="5"/>
      <c r="Q933" s="5"/>
    </row>
    <row r="934">
      <c r="A934" s="5" t="str">
        <f>IFERROR(__xludf.DUMMYFUNCTION("""COMPUTED_VALUE"""),"Outbound +")</f>
        <v>Outbound +</v>
      </c>
      <c r="B934" s="5">
        <f>IFERROR(__xludf.DUMMYFUNCTION("""COMPUTED_VALUE"""),184.0)</f>
        <v>184</v>
      </c>
      <c r="C934" s="5" t="str">
        <f>IFERROR(__xludf.DUMMYFUNCTION("""COMPUTED_VALUE"""),"SEA INSPIRATION")</f>
        <v>SEA INSPIRATION</v>
      </c>
      <c r="D934" s="5">
        <f>IFERROR(__xludf.DUMMYFUNCTION("""COMPUTED_VALUE"""),9604782.0)</f>
        <v>9604782</v>
      </c>
      <c r="E934" s="5" t="str">
        <f>IFERROR(__xludf.DUMMYFUNCTION("""COMPUTED_VALUE"""),"Odesa")</f>
        <v>Odesa</v>
      </c>
      <c r="F934" s="5" t="str">
        <f>IFERROR(__xludf.DUMMYFUNCTION("""COMPUTED_VALUE"""),"Spain")</f>
        <v>Spain</v>
      </c>
      <c r="G934" s="5" t="str">
        <f>IFERROR(__xludf.DUMMYFUNCTION("""COMPUTED_VALUE"""),"Barley")</f>
        <v>Barley</v>
      </c>
      <c r="H934" s="6">
        <f>IFERROR(__xludf.DUMMYFUNCTION("""COMPUTED_VALUE"""),11000.0)</f>
        <v>11000</v>
      </c>
      <c r="I934" s="7">
        <f>IFERROR(__xludf.DUMMYFUNCTION("""COMPUTED_VALUE"""),44825.0)</f>
        <v>44825</v>
      </c>
      <c r="J934" s="7">
        <f>IFERROR(__xludf.DUMMYFUNCTION("""COMPUTED_VALUE"""),44835.0)</f>
        <v>44835</v>
      </c>
      <c r="K934" s="5" t="str">
        <f>IFERROR(__xludf.DUMMYFUNCTION("""COMPUTED_VALUE"""),"high-income")</f>
        <v>high-income</v>
      </c>
      <c r="L934" s="5" t="str">
        <f>IFERROR(__xludf.DUMMYFUNCTION("""COMPUTED_VALUE"""),"Panama")</f>
        <v>Panama</v>
      </c>
      <c r="M934" s="5" t="str">
        <f>IFERROR(__xludf.DUMMYFUNCTION("""COMPUTED_VALUE"""),"Europe &amp; Central Asia")</f>
        <v>Europe &amp; Central Asia</v>
      </c>
      <c r="N934" s="5" t="str">
        <f>IFERROR(__xludf.DUMMYFUNCTION("""COMPUTED_VALUE"""),"Western Europe and Others")</f>
        <v>Western Europe and Others</v>
      </c>
      <c r="O934" s="5" t="str">
        <f>IFERROR(__xludf.DUMMYFUNCTION("""COMPUTED_VALUE"""),"developed")</f>
        <v>developed</v>
      </c>
      <c r="P934" s="5"/>
      <c r="Q934" s="5"/>
    </row>
    <row r="935">
      <c r="A935" s="5" t="str">
        <f>IFERROR(__xludf.DUMMYFUNCTION("""COMPUTED_VALUE"""),"Outbound +")</f>
        <v>Outbound +</v>
      </c>
      <c r="B935" s="5">
        <f>IFERROR(__xludf.DUMMYFUNCTION("""COMPUTED_VALUE"""),184.0)</f>
        <v>184</v>
      </c>
      <c r="C935" s="5" t="str">
        <f>IFERROR(__xludf.DUMMYFUNCTION("""COMPUTED_VALUE"""),"SEA INSPIRATION")</f>
        <v>SEA INSPIRATION</v>
      </c>
      <c r="D935" s="5">
        <f>IFERROR(__xludf.DUMMYFUNCTION("""COMPUTED_VALUE"""),9604782.0)</f>
        <v>9604782</v>
      </c>
      <c r="E935" s="5" t="str">
        <f>IFERROR(__xludf.DUMMYFUNCTION("""COMPUTED_VALUE"""),"Odesa")</f>
        <v>Odesa</v>
      </c>
      <c r="F935" s="5" t="str">
        <f>IFERROR(__xludf.DUMMYFUNCTION("""COMPUTED_VALUE"""),"Spain")</f>
        <v>Spain</v>
      </c>
      <c r="G935" s="5" t="str">
        <f>IFERROR(__xludf.DUMMYFUNCTION("""COMPUTED_VALUE"""),"Corn")</f>
        <v>Corn</v>
      </c>
      <c r="H935" s="6">
        <f>IFERROR(__xludf.DUMMYFUNCTION("""COMPUTED_VALUE"""),10100.0)</f>
        <v>10100</v>
      </c>
      <c r="I935" s="7">
        <f>IFERROR(__xludf.DUMMYFUNCTION("""COMPUTED_VALUE"""),44825.0)</f>
        <v>44825</v>
      </c>
      <c r="J935" s="7">
        <f>IFERROR(__xludf.DUMMYFUNCTION("""COMPUTED_VALUE"""),44835.0)</f>
        <v>44835</v>
      </c>
      <c r="K935" s="5" t="str">
        <f>IFERROR(__xludf.DUMMYFUNCTION("""COMPUTED_VALUE"""),"high-income")</f>
        <v>high-income</v>
      </c>
      <c r="L935" s="5" t="str">
        <f>IFERROR(__xludf.DUMMYFUNCTION("""COMPUTED_VALUE"""),"Panama")</f>
        <v>Panama</v>
      </c>
      <c r="M935" s="5" t="str">
        <f>IFERROR(__xludf.DUMMYFUNCTION("""COMPUTED_VALUE"""),"Europe &amp; Central Asia")</f>
        <v>Europe &amp; Central Asia</v>
      </c>
      <c r="N935" s="5" t="str">
        <f>IFERROR(__xludf.DUMMYFUNCTION("""COMPUTED_VALUE"""),"Western Europe and Others")</f>
        <v>Western Europe and Others</v>
      </c>
      <c r="O935" s="5" t="str">
        <f>IFERROR(__xludf.DUMMYFUNCTION("""COMPUTED_VALUE"""),"developed")</f>
        <v>developed</v>
      </c>
      <c r="P935" s="5"/>
      <c r="Q935" s="5"/>
    </row>
    <row r="936">
      <c r="A936" s="5" t="str">
        <f>IFERROR(__xludf.DUMMYFUNCTION("""COMPUTED_VALUE"""),"Outbound")</f>
        <v>Outbound</v>
      </c>
      <c r="B936" s="5">
        <f>IFERROR(__xludf.DUMMYFUNCTION("""COMPUTED_VALUE"""),183.0)</f>
        <v>183</v>
      </c>
      <c r="C936" s="5" t="str">
        <f>IFERROR(__xludf.DUMMYFUNCTION("""COMPUTED_VALUE"""),"MED ISLAND")</f>
        <v>MED ISLAND</v>
      </c>
      <c r="D936" s="5">
        <f>IFERROR(__xludf.DUMMYFUNCTION("""COMPUTED_VALUE"""),9322748.0)</f>
        <v>9322748</v>
      </c>
      <c r="E936" s="5" t="str">
        <f>IFERROR(__xludf.DUMMYFUNCTION("""COMPUTED_VALUE"""),"Yuzhny/Pivdennyi")</f>
        <v>Yuzhny/Pivdennyi</v>
      </c>
      <c r="F936" s="5" t="str">
        <f>IFERROR(__xludf.DUMMYFUNCTION("""COMPUTED_VALUE"""),"Spain")</f>
        <v>Spain</v>
      </c>
      <c r="G936" s="5" t="str">
        <f>IFERROR(__xludf.DUMMYFUNCTION("""COMPUTED_VALUE"""),"Wheat")</f>
        <v>Wheat</v>
      </c>
      <c r="H936" s="6">
        <f>IFERROR(__xludf.DUMMYFUNCTION("""COMPUTED_VALUE"""),27500.0)</f>
        <v>27500</v>
      </c>
      <c r="I936" s="7">
        <f>IFERROR(__xludf.DUMMYFUNCTION("""COMPUTED_VALUE"""),44825.0)</f>
        <v>44825</v>
      </c>
      <c r="J936" s="7">
        <f>IFERROR(__xludf.DUMMYFUNCTION("""COMPUTED_VALUE"""),44835.0)</f>
        <v>44835</v>
      </c>
      <c r="K936" s="5" t="str">
        <f>IFERROR(__xludf.DUMMYFUNCTION("""COMPUTED_VALUE"""),"high-income")</f>
        <v>high-income</v>
      </c>
      <c r="L936" s="5" t="str">
        <f>IFERROR(__xludf.DUMMYFUNCTION("""COMPUTED_VALUE"""),"Malta")</f>
        <v>Malta</v>
      </c>
      <c r="M936" s="5" t="str">
        <f>IFERROR(__xludf.DUMMYFUNCTION("""COMPUTED_VALUE"""),"Europe &amp; Central Asia")</f>
        <v>Europe &amp; Central Asia</v>
      </c>
      <c r="N936" s="5" t="str">
        <f>IFERROR(__xludf.DUMMYFUNCTION("""COMPUTED_VALUE"""),"Western Europe and Others")</f>
        <v>Western Europe and Others</v>
      </c>
      <c r="O936" s="5" t="str">
        <f>IFERROR(__xludf.DUMMYFUNCTION("""COMPUTED_VALUE"""),"developed")</f>
        <v>developed</v>
      </c>
      <c r="P936" s="5"/>
      <c r="Q936" s="5"/>
    </row>
    <row r="937">
      <c r="A937" s="5" t="str">
        <f>IFERROR(__xludf.DUMMYFUNCTION("""COMPUTED_VALUE"""),"Outbound")</f>
        <v>Outbound</v>
      </c>
      <c r="B937" s="5">
        <f>IFERROR(__xludf.DUMMYFUNCTION("""COMPUTED_VALUE"""),182.0)</f>
        <v>182</v>
      </c>
      <c r="C937" s="5" t="str">
        <f>IFERROR(__xludf.DUMMYFUNCTION("""COMPUTED_VALUE"""),"LEONORA VICTORY")</f>
        <v>LEONORA VICTORY</v>
      </c>
      <c r="D937" s="5">
        <f>IFERROR(__xludf.DUMMYFUNCTION("""COMPUTED_VALUE"""),9283784.0)</f>
        <v>9283784</v>
      </c>
      <c r="E937" s="5" t="str">
        <f>IFERROR(__xludf.DUMMYFUNCTION("""COMPUTED_VALUE"""),"Yuzhny/Pivdennyi")</f>
        <v>Yuzhny/Pivdennyi</v>
      </c>
      <c r="F937" s="5" t="str">
        <f>IFERROR(__xludf.DUMMYFUNCTION("""COMPUTED_VALUE"""),"China")</f>
        <v>China</v>
      </c>
      <c r="G937" s="5" t="str">
        <f>IFERROR(__xludf.DUMMYFUNCTION("""COMPUTED_VALUE"""),"Sunflower oil")</f>
        <v>Sunflower oil</v>
      </c>
      <c r="H937" s="6">
        <f>IFERROR(__xludf.DUMMYFUNCTION("""COMPUTED_VALUE"""),40000.0)</f>
        <v>40000</v>
      </c>
      <c r="I937" s="7">
        <f>IFERROR(__xludf.DUMMYFUNCTION("""COMPUTED_VALUE"""),44825.0)</f>
        <v>44825</v>
      </c>
      <c r="J937" s="7">
        <f>IFERROR(__xludf.DUMMYFUNCTION("""COMPUTED_VALUE"""),44835.0)</f>
        <v>44835</v>
      </c>
      <c r="K937" s="5" t="str">
        <f>IFERROR(__xludf.DUMMYFUNCTION("""COMPUTED_VALUE"""),"upper-middle-income")</f>
        <v>upper-middle-income</v>
      </c>
      <c r="L937" s="5" t="str">
        <f>IFERROR(__xludf.DUMMYFUNCTION("""COMPUTED_VALUE"""),"Norway")</f>
        <v>Norway</v>
      </c>
      <c r="M937" s="5" t="str">
        <f>IFERROR(__xludf.DUMMYFUNCTION("""COMPUTED_VALUE"""),"East Asia &amp; Pacific")</f>
        <v>East Asia &amp; Pacific</v>
      </c>
      <c r="N937" s="5" t="str">
        <f>IFERROR(__xludf.DUMMYFUNCTION("""COMPUTED_VALUE"""),"Asia-Pacific")</f>
        <v>Asia-Pacific</v>
      </c>
      <c r="O937" s="5" t="str">
        <f>IFERROR(__xludf.DUMMYFUNCTION("""COMPUTED_VALUE"""),"developing")</f>
        <v>developing</v>
      </c>
      <c r="P937" s="5"/>
      <c r="Q937" s="5"/>
    </row>
    <row r="938">
      <c r="A938" s="5" t="str">
        <f>IFERROR(__xludf.DUMMYFUNCTION("""COMPUTED_VALUE"""),"Outbound +")</f>
        <v>Outbound +</v>
      </c>
      <c r="B938" s="5">
        <f>IFERROR(__xludf.DUMMYFUNCTION("""COMPUTED_VALUE"""),182.0)</f>
        <v>182</v>
      </c>
      <c r="C938" s="5" t="str">
        <f>IFERROR(__xludf.DUMMYFUNCTION("""COMPUTED_VALUE"""),"LEONORA VICTORY")</f>
        <v>LEONORA VICTORY</v>
      </c>
      <c r="D938" s="5">
        <f>IFERROR(__xludf.DUMMYFUNCTION("""COMPUTED_VALUE"""),9283784.0)</f>
        <v>9283784</v>
      </c>
      <c r="E938" s="5" t="str">
        <f>IFERROR(__xludf.DUMMYFUNCTION("""COMPUTED_VALUE"""),"Yuzhny/Pivdennyi")</f>
        <v>Yuzhny/Pivdennyi</v>
      </c>
      <c r="F938" s="5" t="str">
        <f>IFERROR(__xludf.DUMMYFUNCTION("""COMPUTED_VALUE"""),"Malaysia")</f>
        <v>Malaysia</v>
      </c>
      <c r="G938" s="5" t="str">
        <f>IFERROR(__xludf.DUMMYFUNCTION("""COMPUTED_VALUE"""),"Sunflower oil")</f>
        <v>Sunflower oil</v>
      </c>
      <c r="H938" s="6">
        <f>IFERROR(__xludf.DUMMYFUNCTION("""COMPUTED_VALUE"""),4000.0)</f>
        <v>4000</v>
      </c>
      <c r="I938" s="7">
        <f>IFERROR(__xludf.DUMMYFUNCTION("""COMPUTED_VALUE"""),44825.0)</f>
        <v>44825</v>
      </c>
      <c r="J938" s="7">
        <f>IFERROR(__xludf.DUMMYFUNCTION("""COMPUTED_VALUE"""),44835.0)</f>
        <v>44835</v>
      </c>
      <c r="K938" s="5" t="str">
        <f>IFERROR(__xludf.DUMMYFUNCTION("""COMPUTED_VALUE"""),"upper-middle-income")</f>
        <v>upper-middle-income</v>
      </c>
      <c r="L938" s="5" t="str">
        <f>IFERROR(__xludf.DUMMYFUNCTION("""COMPUTED_VALUE"""),"Norway")</f>
        <v>Norway</v>
      </c>
      <c r="M938" s="5" t="str">
        <f>IFERROR(__xludf.DUMMYFUNCTION("""COMPUTED_VALUE"""),"East Asia &amp; Pacific")</f>
        <v>East Asia &amp; Pacific</v>
      </c>
      <c r="N938" s="5" t="str">
        <f>IFERROR(__xludf.DUMMYFUNCTION("""COMPUTED_VALUE"""),"Asia-Pacific")</f>
        <v>Asia-Pacific</v>
      </c>
      <c r="O938" s="5" t="str">
        <f>IFERROR(__xludf.DUMMYFUNCTION("""COMPUTED_VALUE"""),"developing")</f>
        <v>developing</v>
      </c>
      <c r="P938" s="5"/>
      <c r="Q938" s="5"/>
    </row>
    <row r="939">
      <c r="A939" s="5" t="str">
        <f>IFERROR(__xludf.DUMMYFUNCTION("""COMPUTED_VALUE"""),"Outbound")</f>
        <v>Outbound</v>
      </c>
      <c r="B939" s="5">
        <f>IFERROR(__xludf.DUMMYFUNCTION("""COMPUTED_VALUE"""),181.0)</f>
        <v>181</v>
      </c>
      <c r="C939" s="5" t="str">
        <f>IFERROR(__xludf.DUMMYFUNCTION("""COMPUTED_VALUE"""),"DS MANATEE")</f>
        <v>DS MANATEE</v>
      </c>
      <c r="D939" s="5">
        <f>IFERROR(__xludf.DUMMYFUNCTION("""COMPUTED_VALUE"""),9255189.0)</f>
        <v>9255189</v>
      </c>
      <c r="E939" s="5" t="str">
        <f>IFERROR(__xludf.DUMMYFUNCTION("""COMPUTED_VALUE"""),"Odesa")</f>
        <v>Odesa</v>
      </c>
      <c r="F939" s="5" t="str">
        <f>IFERROR(__xludf.DUMMYFUNCTION("""COMPUTED_VALUE"""),"Italy")</f>
        <v>Italy</v>
      </c>
      <c r="G939" s="5" t="str">
        <f>IFERROR(__xludf.DUMMYFUNCTION("""COMPUTED_VALUE"""),"Corn")</f>
        <v>Corn</v>
      </c>
      <c r="H939" s="6">
        <f>IFERROR(__xludf.DUMMYFUNCTION("""COMPUTED_VALUE"""),26250.0)</f>
        <v>26250</v>
      </c>
      <c r="I939" s="7">
        <f>IFERROR(__xludf.DUMMYFUNCTION("""COMPUTED_VALUE"""),44825.0)</f>
        <v>44825</v>
      </c>
      <c r="J939" s="7">
        <f>IFERROR(__xludf.DUMMYFUNCTION("""COMPUTED_VALUE"""),44835.0)</f>
        <v>44835</v>
      </c>
      <c r="K939" s="5" t="str">
        <f>IFERROR(__xludf.DUMMYFUNCTION("""COMPUTED_VALUE"""),"high-income")</f>
        <v>high-income</v>
      </c>
      <c r="L939" s="5" t="str">
        <f>IFERROR(__xludf.DUMMYFUNCTION("""COMPUTED_VALUE"""),"Marshall Islands")</f>
        <v>Marshall Islands</v>
      </c>
      <c r="M939" s="5" t="str">
        <f>IFERROR(__xludf.DUMMYFUNCTION("""COMPUTED_VALUE"""),"Europe &amp; Central Asia")</f>
        <v>Europe &amp; Central Asia</v>
      </c>
      <c r="N939" s="5" t="str">
        <f>IFERROR(__xludf.DUMMYFUNCTION("""COMPUTED_VALUE"""),"Western Europe and Others")</f>
        <v>Western Europe and Others</v>
      </c>
      <c r="O939" s="5" t="str">
        <f>IFERROR(__xludf.DUMMYFUNCTION("""COMPUTED_VALUE"""),"developed")</f>
        <v>developed</v>
      </c>
      <c r="P939" s="5"/>
      <c r="Q939" s="5"/>
    </row>
    <row r="940">
      <c r="A940" s="5" t="str">
        <f>IFERROR(__xludf.DUMMYFUNCTION("""COMPUTED_VALUE"""),"Outbound")</f>
        <v>Outbound</v>
      </c>
      <c r="B940" s="5">
        <f>IFERROR(__xludf.DUMMYFUNCTION("""COMPUTED_VALUE"""),180.0)</f>
        <v>180</v>
      </c>
      <c r="C940" s="5" t="str">
        <f>IFERROR(__xludf.DUMMYFUNCTION("""COMPUTED_VALUE"""),"CENK M")</f>
        <v>CENK M</v>
      </c>
      <c r="D940" s="5">
        <f>IFERROR(__xludf.DUMMYFUNCTION("""COMPUTED_VALUE"""),7382366.0)</f>
        <v>7382366</v>
      </c>
      <c r="E940" s="5" t="str">
        <f>IFERROR(__xludf.DUMMYFUNCTION("""COMPUTED_VALUE"""),"Chornomorsk")</f>
        <v>Chornomorsk</v>
      </c>
      <c r="F940" s="5" t="str">
        <f>IFERROR(__xludf.DUMMYFUNCTION("""COMPUTED_VALUE"""),"Türkiye")</f>
        <v>Türkiye</v>
      </c>
      <c r="G940" s="5" t="str">
        <f>IFERROR(__xludf.DUMMYFUNCTION("""COMPUTED_VALUE"""),"Sunflower seed")</f>
        <v>Sunflower seed</v>
      </c>
      <c r="H940" s="6">
        <f>IFERROR(__xludf.DUMMYFUNCTION("""COMPUTED_VALUE"""),90.0)</f>
        <v>90</v>
      </c>
      <c r="I940" s="7">
        <f>IFERROR(__xludf.DUMMYFUNCTION("""COMPUTED_VALUE"""),44825.0)</f>
        <v>44825</v>
      </c>
      <c r="J940" s="7">
        <f>IFERROR(__xludf.DUMMYFUNCTION("""COMPUTED_VALUE"""),44842.0)</f>
        <v>44842</v>
      </c>
      <c r="K940" s="5" t="str">
        <f>IFERROR(__xludf.DUMMYFUNCTION("""COMPUTED_VALUE"""),"upper-middle-income")</f>
        <v>upper-middle-income</v>
      </c>
      <c r="L940" s="5"/>
      <c r="M940" s="5" t="str">
        <f>IFERROR(__xludf.DUMMYFUNCTION("""COMPUTED_VALUE"""),"Europe &amp; Central Asia")</f>
        <v>Europe &amp; Central Asia</v>
      </c>
      <c r="N940" s="5" t="str">
        <f>IFERROR(__xludf.DUMMYFUNCTION("""COMPUTED_VALUE"""),"Asia-Pacific")</f>
        <v>Asia-Pacific</v>
      </c>
      <c r="O940" s="5" t="str">
        <f>IFERROR(__xludf.DUMMYFUNCTION("""COMPUTED_VALUE"""),"developing")</f>
        <v>developing</v>
      </c>
      <c r="P940" s="5"/>
      <c r="Q940" s="5" t="str">
        <f>IFERROR(__xludf.DUMMYFUNCTION("""COMPUTED_VALUE"""),"Stranded")</f>
        <v>Stranded</v>
      </c>
    </row>
    <row r="941">
      <c r="A941" s="5" t="str">
        <f>IFERROR(__xludf.DUMMYFUNCTION("""COMPUTED_VALUE"""),"Outbound")</f>
        <v>Outbound</v>
      </c>
      <c r="B941" s="5">
        <f>IFERROR(__xludf.DUMMYFUNCTION("""COMPUTED_VALUE"""),179.0)</f>
        <v>179</v>
      </c>
      <c r="C941" s="5" t="str">
        <f>IFERROR(__xludf.DUMMYFUNCTION("""COMPUTED_VALUE"""),"BRIGHT STAR")</f>
        <v>BRIGHT STAR</v>
      </c>
      <c r="D941" s="5">
        <f>IFERROR(__xludf.DUMMYFUNCTION("""COMPUTED_VALUE"""),9481960.0)</f>
        <v>9481960</v>
      </c>
      <c r="E941" s="5" t="str">
        <f>IFERROR(__xludf.DUMMYFUNCTION("""COMPUTED_VALUE"""),"Yuzhny/Pivdennyi")</f>
        <v>Yuzhny/Pivdennyi</v>
      </c>
      <c r="F941" s="5" t="str">
        <f>IFERROR(__xludf.DUMMYFUNCTION("""COMPUTED_VALUE"""),"The Netherlands")</f>
        <v>The Netherlands</v>
      </c>
      <c r="G941" s="5" t="str">
        <f>IFERROR(__xludf.DUMMYFUNCTION("""COMPUTED_VALUE"""),"Rapeseed")</f>
        <v>Rapeseed</v>
      </c>
      <c r="H941" s="6">
        <f>IFERROR(__xludf.DUMMYFUNCTION("""COMPUTED_VALUE"""),32493.0)</f>
        <v>32493</v>
      </c>
      <c r="I941" s="7">
        <f>IFERROR(__xludf.DUMMYFUNCTION("""COMPUTED_VALUE"""),44825.0)</f>
        <v>44825</v>
      </c>
      <c r="J941" s="7">
        <f>IFERROR(__xludf.DUMMYFUNCTION("""COMPUTED_VALUE"""),44835.0)</f>
        <v>44835</v>
      </c>
      <c r="K941" s="5" t="str">
        <f>IFERROR(__xludf.DUMMYFUNCTION("""COMPUTED_VALUE"""),"high-income")</f>
        <v>high-income</v>
      </c>
      <c r="L941" s="5" t="str">
        <f>IFERROR(__xludf.DUMMYFUNCTION("""COMPUTED_VALUE"""),"Liberia")</f>
        <v>Liberia</v>
      </c>
      <c r="M941" s="5" t="str">
        <f>IFERROR(__xludf.DUMMYFUNCTION("""COMPUTED_VALUE"""),"Europe &amp; Central Asia")</f>
        <v>Europe &amp; Central Asia</v>
      </c>
      <c r="N941" s="5" t="str">
        <f>IFERROR(__xludf.DUMMYFUNCTION("""COMPUTED_VALUE"""),"Western Europe and Others")</f>
        <v>Western Europe and Others</v>
      </c>
      <c r="O941" s="5" t="str">
        <f>IFERROR(__xludf.DUMMYFUNCTION("""COMPUTED_VALUE"""),"developed")</f>
        <v>developed</v>
      </c>
      <c r="P941" s="5"/>
      <c r="Q941" s="5"/>
    </row>
    <row r="942">
      <c r="A942" s="5" t="str">
        <f>IFERROR(__xludf.DUMMYFUNCTION("""COMPUTED_VALUE"""),"Outbound")</f>
        <v>Outbound</v>
      </c>
      <c r="B942" s="5">
        <f>IFERROR(__xludf.DUMMYFUNCTION("""COMPUTED_VALUE"""),178.0)</f>
        <v>178</v>
      </c>
      <c r="C942" s="5" t="str">
        <f>IFERROR(__xludf.DUMMYFUNCTION("""COMPUTED_VALUE"""),"TINA S")</f>
        <v>TINA S</v>
      </c>
      <c r="D942" s="5">
        <f>IFERROR(__xludf.DUMMYFUNCTION("""COMPUTED_VALUE"""),9498432.0)</f>
        <v>9498432</v>
      </c>
      <c r="E942" s="5" t="str">
        <f>IFERROR(__xludf.DUMMYFUNCTION("""COMPUTED_VALUE"""),"Odesa")</f>
        <v>Odesa</v>
      </c>
      <c r="F942" s="5" t="str">
        <f>IFERROR(__xludf.DUMMYFUNCTION("""COMPUTED_VALUE"""),"Italy")</f>
        <v>Italy</v>
      </c>
      <c r="G942" s="5" t="str">
        <f>IFERROR(__xludf.DUMMYFUNCTION("""COMPUTED_VALUE"""),"Corn")</f>
        <v>Corn</v>
      </c>
      <c r="H942" s="6">
        <f>IFERROR(__xludf.DUMMYFUNCTION("""COMPUTED_VALUE"""),33000.0)</f>
        <v>33000</v>
      </c>
      <c r="I942" s="7">
        <f>IFERROR(__xludf.DUMMYFUNCTION("""COMPUTED_VALUE"""),44824.0)</f>
        <v>44824</v>
      </c>
      <c r="J942" s="7">
        <f>IFERROR(__xludf.DUMMYFUNCTION("""COMPUTED_VALUE"""),44844.0)</f>
        <v>44844</v>
      </c>
      <c r="K942" s="5" t="str">
        <f>IFERROR(__xludf.DUMMYFUNCTION("""COMPUTED_VALUE"""),"high-income")</f>
        <v>high-income</v>
      </c>
      <c r="L942" s="5" t="str">
        <f>IFERROR(__xludf.DUMMYFUNCTION("""COMPUTED_VALUE"""),"Liberia")</f>
        <v>Liberia</v>
      </c>
      <c r="M942" s="5" t="str">
        <f>IFERROR(__xludf.DUMMYFUNCTION("""COMPUTED_VALUE"""),"Europe &amp; Central Asia")</f>
        <v>Europe &amp; Central Asia</v>
      </c>
      <c r="N942" s="5" t="str">
        <f>IFERROR(__xludf.DUMMYFUNCTION("""COMPUTED_VALUE"""),"Western Europe and Others")</f>
        <v>Western Europe and Others</v>
      </c>
      <c r="O942" s="5" t="str">
        <f>IFERROR(__xludf.DUMMYFUNCTION("""COMPUTED_VALUE"""),"developed")</f>
        <v>developed</v>
      </c>
      <c r="P942" s="5"/>
      <c r="Q942" s="5"/>
    </row>
    <row r="943">
      <c r="A943" s="5" t="str">
        <f>IFERROR(__xludf.DUMMYFUNCTION("""COMPUTED_VALUE"""),"Outbound")</f>
        <v>Outbound</v>
      </c>
      <c r="B943" s="5">
        <f>IFERROR(__xludf.DUMMYFUNCTION("""COMPUTED_VALUE"""),177.0)</f>
        <v>177</v>
      </c>
      <c r="C943" s="5" t="str">
        <f>IFERROR(__xludf.DUMMYFUNCTION("""COMPUTED_VALUE"""),"SSI PRIDE")</f>
        <v>SSI PRIDE</v>
      </c>
      <c r="D943" s="5">
        <f>IFERROR(__xludf.DUMMYFUNCTION("""COMPUTED_VALUE"""),9250579.0)</f>
        <v>9250579</v>
      </c>
      <c r="E943" s="5" t="str">
        <f>IFERROR(__xludf.DUMMYFUNCTION("""COMPUTED_VALUE"""),"Odesa")</f>
        <v>Odesa</v>
      </c>
      <c r="F943" s="5" t="str">
        <f>IFERROR(__xludf.DUMMYFUNCTION("""COMPUTED_VALUE"""),"Bangladesh")</f>
        <v>Bangladesh</v>
      </c>
      <c r="G943" s="5" t="str">
        <f>IFERROR(__xludf.DUMMYFUNCTION("""COMPUTED_VALUE"""),"Wheat")</f>
        <v>Wheat</v>
      </c>
      <c r="H943" s="6">
        <f>IFERROR(__xludf.DUMMYFUNCTION("""COMPUTED_VALUE"""),46500.0)</f>
        <v>46500</v>
      </c>
      <c r="I943" s="7">
        <f>IFERROR(__xludf.DUMMYFUNCTION("""COMPUTED_VALUE"""),44824.0)</f>
        <v>44824</v>
      </c>
      <c r="J943" s="7">
        <f>IFERROR(__xludf.DUMMYFUNCTION("""COMPUTED_VALUE"""),44832.0)</f>
        <v>44832</v>
      </c>
      <c r="K943" s="5" t="str">
        <f>IFERROR(__xludf.DUMMYFUNCTION("""COMPUTED_VALUE"""),"lower-middle income")</f>
        <v>lower-middle income</v>
      </c>
      <c r="L943" s="5" t="str">
        <f>IFERROR(__xludf.DUMMYFUNCTION("""COMPUTED_VALUE"""),"Panama")</f>
        <v>Panama</v>
      </c>
      <c r="M943" s="5" t="str">
        <f>IFERROR(__xludf.DUMMYFUNCTION("""COMPUTED_VALUE"""),"South Asia")</f>
        <v>South Asia</v>
      </c>
      <c r="N943" s="5" t="str">
        <f>IFERROR(__xludf.DUMMYFUNCTION("""COMPUTED_VALUE"""),"Asia-Pacific")</f>
        <v>Asia-Pacific</v>
      </c>
      <c r="O943" s="5" t="str">
        <f>IFERROR(__xludf.DUMMYFUNCTION("""COMPUTED_VALUE"""),"developing")</f>
        <v>developing</v>
      </c>
      <c r="P943" s="5"/>
      <c r="Q943" s="5"/>
    </row>
    <row r="944">
      <c r="A944" s="5" t="str">
        <f>IFERROR(__xludf.DUMMYFUNCTION("""COMPUTED_VALUE"""),"Outbound")</f>
        <v>Outbound</v>
      </c>
      <c r="B944" s="5">
        <f>IFERROR(__xludf.DUMMYFUNCTION("""COMPUTED_VALUE"""),176.0)</f>
        <v>176</v>
      </c>
      <c r="C944" s="5" t="str">
        <f>IFERROR(__xludf.DUMMYFUNCTION("""COMPUTED_VALUE"""),"RIDER")</f>
        <v>RIDER</v>
      </c>
      <c r="D944" s="5">
        <f>IFERROR(__xludf.DUMMYFUNCTION("""COMPUTED_VALUE"""),9017628.0)</f>
        <v>9017628</v>
      </c>
      <c r="E944" s="5" t="str">
        <f>IFERROR(__xludf.DUMMYFUNCTION("""COMPUTED_VALUE"""),"Odesa")</f>
        <v>Odesa</v>
      </c>
      <c r="F944" s="5" t="str">
        <f>IFERROR(__xludf.DUMMYFUNCTION("""COMPUTED_VALUE"""),"Italy")</f>
        <v>Italy</v>
      </c>
      <c r="G944" s="5" t="str">
        <f>IFERROR(__xludf.DUMMYFUNCTION("""COMPUTED_VALUE"""),"Wheat")</f>
        <v>Wheat</v>
      </c>
      <c r="H944" s="6">
        <f>IFERROR(__xludf.DUMMYFUNCTION("""COMPUTED_VALUE"""),9751.0)</f>
        <v>9751</v>
      </c>
      <c r="I944" s="7">
        <f>IFERROR(__xludf.DUMMYFUNCTION("""COMPUTED_VALUE"""),44824.0)</f>
        <v>44824</v>
      </c>
      <c r="J944" s="7">
        <f>IFERROR(__xludf.DUMMYFUNCTION("""COMPUTED_VALUE"""),44834.0)</f>
        <v>44834</v>
      </c>
      <c r="K944" s="5" t="str">
        <f>IFERROR(__xludf.DUMMYFUNCTION("""COMPUTED_VALUE"""),"high-income")</f>
        <v>high-income</v>
      </c>
      <c r="L944" s="5" t="str">
        <f>IFERROR(__xludf.DUMMYFUNCTION("""COMPUTED_VALUE"""),"Palau")</f>
        <v>Palau</v>
      </c>
      <c r="M944" s="5" t="str">
        <f>IFERROR(__xludf.DUMMYFUNCTION("""COMPUTED_VALUE"""),"Europe &amp; Central Asia")</f>
        <v>Europe &amp; Central Asia</v>
      </c>
      <c r="N944" s="5" t="str">
        <f>IFERROR(__xludf.DUMMYFUNCTION("""COMPUTED_VALUE"""),"Western Europe and Others")</f>
        <v>Western Europe and Others</v>
      </c>
      <c r="O944" s="5" t="str">
        <f>IFERROR(__xludf.DUMMYFUNCTION("""COMPUTED_VALUE"""),"developed")</f>
        <v>developed</v>
      </c>
      <c r="P944" s="5"/>
      <c r="Q944" s="5"/>
    </row>
    <row r="945">
      <c r="A945" s="5" t="str">
        <f>IFERROR(__xludf.DUMMYFUNCTION("""COMPUTED_VALUE"""),"Outbound")</f>
        <v>Outbound</v>
      </c>
      <c r="B945" s="5">
        <f>IFERROR(__xludf.DUMMYFUNCTION("""COMPUTED_VALUE"""),175.0)</f>
        <v>175</v>
      </c>
      <c r="C945" s="5" t="str">
        <f>IFERROR(__xludf.DUMMYFUNCTION("""COMPUTED_VALUE"""),"PGE RAIN")</f>
        <v>PGE RAIN</v>
      </c>
      <c r="D945" s="5">
        <f>IFERROR(__xludf.DUMMYFUNCTION("""COMPUTED_VALUE"""),9005857.0)</f>
        <v>9005857</v>
      </c>
      <c r="E945" s="5" t="str">
        <f>IFERROR(__xludf.DUMMYFUNCTION("""COMPUTED_VALUE"""),"Odesa")</f>
        <v>Odesa</v>
      </c>
      <c r="F945" s="5" t="str">
        <f>IFERROR(__xludf.DUMMYFUNCTION("""COMPUTED_VALUE"""),"Türkiye")</f>
        <v>Türkiye</v>
      </c>
      <c r="G945" s="5" t="str">
        <f>IFERROR(__xludf.DUMMYFUNCTION("""COMPUTED_VALUE"""),"Soya beans")</f>
        <v>Soya beans</v>
      </c>
      <c r="H945" s="6">
        <f>IFERROR(__xludf.DUMMYFUNCTION("""COMPUTED_VALUE"""),4400.0)</f>
        <v>4400</v>
      </c>
      <c r="I945" s="7">
        <f>IFERROR(__xludf.DUMMYFUNCTION("""COMPUTED_VALUE"""),44824.0)</f>
        <v>44824</v>
      </c>
      <c r="J945" s="7">
        <f>IFERROR(__xludf.DUMMYFUNCTION("""COMPUTED_VALUE"""),44832.0)</f>
        <v>44832</v>
      </c>
      <c r="K945" s="5" t="str">
        <f>IFERROR(__xludf.DUMMYFUNCTION("""COMPUTED_VALUE"""),"upper-middle-income")</f>
        <v>upper-middle-income</v>
      </c>
      <c r="L945" s="5" t="str">
        <f>IFERROR(__xludf.DUMMYFUNCTION("""COMPUTED_VALUE"""),"Panama")</f>
        <v>Panama</v>
      </c>
      <c r="M945" s="5" t="str">
        <f>IFERROR(__xludf.DUMMYFUNCTION("""COMPUTED_VALUE"""),"Europe &amp; Central Asia")</f>
        <v>Europe &amp; Central Asia</v>
      </c>
      <c r="N945" s="5" t="str">
        <f>IFERROR(__xludf.DUMMYFUNCTION("""COMPUTED_VALUE"""),"Asia-Pacific")</f>
        <v>Asia-Pacific</v>
      </c>
      <c r="O945" s="5" t="str">
        <f>IFERROR(__xludf.DUMMYFUNCTION("""COMPUTED_VALUE"""),"developing")</f>
        <v>developing</v>
      </c>
      <c r="P945" s="5"/>
      <c r="Q945" s="5"/>
    </row>
    <row r="946">
      <c r="A946" s="5" t="str">
        <f>IFERROR(__xludf.DUMMYFUNCTION("""COMPUTED_VALUE"""),"Outbound")</f>
        <v>Outbound</v>
      </c>
      <c r="B946" s="5">
        <f>IFERROR(__xludf.DUMMYFUNCTION("""COMPUTED_VALUE"""),174.0)</f>
        <v>174</v>
      </c>
      <c r="C946" s="5" t="str">
        <f>IFERROR(__xludf.DUMMYFUNCTION("""COMPUTED_VALUE"""),"PAULINE")</f>
        <v>PAULINE</v>
      </c>
      <c r="D946" s="5">
        <f>IFERROR(__xludf.DUMMYFUNCTION("""COMPUTED_VALUE"""),9325350.0)</f>
        <v>9325350</v>
      </c>
      <c r="E946" s="5" t="str">
        <f>IFERROR(__xludf.DUMMYFUNCTION("""COMPUTED_VALUE"""),"Chornomorsk")</f>
        <v>Chornomorsk</v>
      </c>
      <c r="F946" s="5" t="str">
        <f>IFERROR(__xludf.DUMMYFUNCTION("""COMPUTED_VALUE"""),"Germany")</f>
        <v>Germany</v>
      </c>
      <c r="G946" s="5" t="str">
        <f>IFERROR(__xludf.DUMMYFUNCTION("""COMPUTED_VALUE"""),"Corn")</f>
        <v>Corn</v>
      </c>
      <c r="H946" s="6">
        <f>IFERROR(__xludf.DUMMYFUNCTION("""COMPUTED_VALUE"""),48750.0)</f>
        <v>48750</v>
      </c>
      <c r="I946" s="7">
        <f>IFERROR(__xludf.DUMMYFUNCTION("""COMPUTED_VALUE"""),44824.0)</f>
        <v>44824</v>
      </c>
      <c r="J946" s="7">
        <f>IFERROR(__xludf.DUMMYFUNCTION("""COMPUTED_VALUE"""),44834.0)</f>
        <v>44834</v>
      </c>
      <c r="K946" s="5" t="str">
        <f>IFERROR(__xludf.DUMMYFUNCTION("""COMPUTED_VALUE"""),"high-income")</f>
        <v>high-income</v>
      </c>
      <c r="L946" s="5" t="str">
        <f>IFERROR(__xludf.DUMMYFUNCTION("""COMPUTED_VALUE"""),"Liberia")</f>
        <v>Liberia</v>
      </c>
      <c r="M946" s="5" t="str">
        <f>IFERROR(__xludf.DUMMYFUNCTION("""COMPUTED_VALUE"""),"Europe &amp; Central Asia")</f>
        <v>Europe &amp; Central Asia</v>
      </c>
      <c r="N946" s="5" t="str">
        <f>IFERROR(__xludf.DUMMYFUNCTION("""COMPUTED_VALUE"""),"Western Europe and Others")</f>
        <v>Western Europe and Others</v>
      </c>
      <c r="O946" s="5" t="str">
        <f>IFERROR(__xludf.DUMMYFUNCTION("""COMPUTED_VALUE"""),"developed")</f>
        <v>developed</v>
      </c>
      <c r="P946" s="5"/>
      <c r="Q946" s="5"/>
    </row>
    <row r="947">
      <c r="A947" s="5" t="str">
        <f>IFERROR(__xludf.DUMMYFUNCTION("""COMPUTED_VALUE"""),"Outbound")</f>
        <v>Outbound</v>
      </c>
      <c r="B947" s="5">
        <f>IFERROR(__xludf.DUMMYFUNCTION("""COMPUTED_VALUE"""),173.0)</f>
        <v>173</v>
      </c>
      <c r="C947" s="5" t="str">
        <f>IFERROR(__xludf.DUMMYFUNCTION("""COMPUTED_VALUE"""),"NYMPHI")</f>
        <v>NYMPHI</v>
      </c>
      <c r="D947" s="5">
        <f>IFERROR(__xludf.DUMMYFUNCTION("""COMPUTED_VALUE"""),9615030.0)</f>
        <v>9615030</v>
      </c>
      <c r="E947" s="5" t="str">
        <f>IFERROR(__xludf.DUMMYFUNCTION("""COMPUTED_VALUE"""),"Chornomorsk")</f>
        <v>Chornomorsk</v>
      </c>
      <c r="F947" s="5" t="str">
        <f>IFERROR(__xludf.DUMMYFUNCTION("""COMPUTED_VALUE"""),"The Netherlands")</f>
        <v>The Netherlands</v>
      </c>
      <c r="G947" s="5" t="str">
        <f>IFERROR(__xludf.DUMMYFUNCTION("""COMPUTED_VALUE"""),"Corn")</f>
        <v>Corn</v>
      </c>
      <c r="H947" s="6">
        <f>IFERROR(__xludf.DUMMYFUNCTION("""COMPUTED_VALUE"""),27100.0)</f>
        <v>27100</v>
      </c>
      <c r="I947" s="7">
        <f>IFERROR(__xludf.DUMMYFUNCTION("""COMPUTED_VALUE"""),44824.0)</f>
        <v>44824</v>
      </c>
      <c r="J947" s="7">
        <f>IFERROR(__xludf.DUMMYFUNCTION("""COMPUTED_VALUE"""),44834.0)</f>
        <v>44834</v>
      </c>
      <c r="K947" s="5" t="str">
        <f>IFERROR(__xludf.DUMMYFUNCTION("""COMPUTED_VALUE"""),"high-income")</f>
        <v>high-income</v>
      </c>
      <c r="L947" s="5" t="str">
        <f>IFERROR(__xludf.DUMMYFUNCTION("""COMPUTED_VALUE"""),"Panama")</f>
        <v>Panama</v>
      </c>
      <c r="M947" s="5" t="str">
        <f>IFERROR(__xludf.DUMMYFUNCTION("""COMPUTED_VALUE"""),"Europe &amp; Central Asia")</f>
        <v>Europe &amp; Central Asia</v>
      </c>
      <c r="N947" s="5" t="str">
        <f>IFERROR(__xludf.DUMMYFUNCTION("""COMPUTED_VALUE"""),"Western Europe and Others")</f>
        <v>Western Europe and Others</v>
      </c>
      <c r="O947" s="5" t="str">
        <f>IFERROR(__xludf.DUMMYFUNCTION("""COMPUTED_VALUE"""),"developed")</f>
        <v>developed</v>
      </c>
      <c r="P947" s="5"/>
      <c r="Q947" s="5"/>
    </row>
    <row r="948">
      <c r="A948" s="5" t="str">
        <f>IFERROR(__xludf.DUMMYFUNCTION("""COMPUTED_VALUE"""),"Outbound")</f>
        <v>Outbound</v>
      </c>
      <c r="B948" s="5">
        <f>IFERROR(__xludf.DUMMYFUNCTION("""COMPUTED_VALUE"""),172.0)</f>
        <v>172</v>
      </c>
      <c r="C948" s="5" t="str">
        <f>IFERROR(__xludf.DUMMYFUNCTION("""COMPUTED_VALUE"""),"NORAN")</f>
        <v>NORAN</v>
      </c>
      <c r="D948" s="5">
        <f>IFERROR(__xludf.DUMMYFUNCTION("""COMPUTED_VALUE"""),9175822.0)</f>
        <v>9175822</v>
      </c>
      <c r="E948" s="5" t="str">
        <f>IFERROR(__xludf.DUMMYFUNCTION("""COMPUTED_VALUE"""),"Chornomorsk")</f>
        <v>Chornomorsk</v>
      </c>
      <c r="F948" s="5" t="str">
        <f>IFERROR(__xludf.DUMMYFUNCTION("""COMPUTED_VALUE"""),"Türkiye")</f>
        <v>Türkiye</v>
      </c>
      <c r="G948" s="5" t="str">
        <f>IFERROR(__xludf.DUMMYFUNCTION("""COMPUTED_VALUE"""),"Wheat")</f>
        <v>Wheat</v>
      </c>
      <c r="H948" s="6">
        <f>IFERROR(__xludf.DUMMYFUNCTION("""COMPUTED_VALUE"""),8100.0)</f>
        <v>8100</v>
      </c>
      <c r="I948" s="7">
        <f>IFERROR(__xludf.DUMMYFUNCTION("""COMPUTED_VALUE"""),44824.0)</f>
        <v>44824</v>
      </c>
      <c r="J948" s="7">
        <f>IFERROR(__xludf.DUMMYFUNCTION("""COMPUTED_VALUE"""),44836.0)</f>
        <v>44836</v>
      </c>
      <c r="K948" s="5" t="str">
        <f>IFERROR(__xludf.DUMMYFUNCTION("""COMPUTED_VALUE"""),"upper-middle-income")</f>
        <v>upper-middle-income</v>
      </c>
      <c r="L948" s="5" t="str">
        <f>IFERROR(__xludf.DUMMYFUNCTION("""COMPUTED_VALUE"""),"Palau")</f>
        <v>Palau</v>
      </c>
      <c r="M948" s="5" t="str">
        <f>IFERROR(__xludf.DUMMYFUNCTION("""COMPUTED_VALUE"""),"Europe &amp; Central Asia")</f>
        <v>Europe &amp; Central Asia</v>
      </c>
      <c r="N948" s="5" t="str">
        <f>IFERROR(__xludf.DUMMYFUNCTION("""COMPUTED_VALUE"""),"Asia-Pacific")</f>
        <v>Asia-Pacific</v>
      </c>
      <c r="O948" s="5" t="str">
        <f>IFERROR(__xludf.DUMMYFUNCTION("""COMPUTED_VALUE"""),"developing")</f>
        <v>developing</v>
      </c>
      <c r="P948" s="5"/>
      <c r="Q948" s="5"/>
    </row>
    <row r="949">
      <c r="A949" s="5" t="str">
        <f>IFERROR(__xludf.DUMMYFUNCTION("""COMPUTED_VALUE"""),"Outbound")</f>
        <v>Outbound</v>
      </c>
      <c r="B949" s="5">
        <f>IFERROR(__xludf.DUMMYFUNCTION("""COMPUTED_VALUE"""),171.0)</f>
        <v>171</v>
      </c>
      <c r="C949" s="5" t="str">
        <f>IFERROR(__xludf.DUMMYFUNCTION("""COMPUTED_VALUE"""),"NIZAR")</f>
        <v>NIZAR</v>
      </c>
      <c r="D949" s="5">
        <f>IFERROR(__xludf.DUMMYFUNCTION("""COMPUTED_VALUE"""),8324751.0)</f>
        <v>8324751</v>
      </c>
      <c r="E949" s="5" t="str">
        <f>IFERROR(__xludf.DUMMYFUNCTION("""COMPUTED_VALUE"""),"Odesa")</f>
        <v>Odesa</v>
      </c>
      <c r="F949" s="5" t="str">
        <f>IFERROR(__xludf.DUMMYFUNCTION("""COMPUTED_VALUE"""),"Türkiye")</f>
        <v>Türkiye</v>
      </c>
      <c r="G949" s="5" t="str">
        <f>IFERROR(__xludf.DUMMYFUNCTION("""COMPUTED_VALUE"""),"Soya beans")</f>
        <v>Soya beans</v>
      </c>
      <c r="H949" s="6">
        <f>IFERROR(__xludf.DUMMYFUNCTION("""COMPUTED_VALUE"""),4950.0)</f>
        <v>4950</v>
      </c>
      <c r="I949" s="7">
        <f>IFERROR(__xludf.DUMMYFUNCTION("""COMPUTED_VALUE"""),44824.0)</f>
        <v>44824</v>
      </c>
      <c r="J949" s="7">
        <f>IFERROR(__xludf.DUMMYFUNCTION("""COMPUTED_VALUE"""),44838.0)</f>
        <v>44838</v>
      </c>
      <c r="K949" s="5" t="str">
        <f>IFERROR(__xludf.DUMMYFUNCTION("""COMPUTED_VALUE"""),"upper-middle-income")</f>
        <v>upper-middle-income</v>
      </c>
      <c r="L949" s="5" t="str">
        <f>IFERROR(__xludf.DUMMYFUNCTION("""COMPUTED_VALUE"""),"Sierra Leone")</f>
        <v>Sierra Leone</v>
      </c>
      <c r="M949" s="5" t="str">
        <f>IFERROR(__xludf.DUMMYFUNCTION("""COMPUTED_VALUE"""),"Europe &amp; Central Asia")</f>
        <v>Europe &amp; Central Asia</v>
      </c>
      <c r="N949" s="5" t="str">
        <f>IFERROR(__xludf.DUMMYFUNCTION("""COMPUTED_VALUE"""),"Asia-Pacific")</f>
        <v>Asia-Pacific</v>
      </c>
      <c r="O949" s="5" t="str">
        <f>IFERROR(__xludf.DUMMYFUNCTION("""COMPUTED_VALUE"""),"developing")</f>
        <v>developing</v>
      </c>
      <c r="P949" s="5"/>
      <c r="Q949" s="5"/>
    </row>
    <row r="950">
      <c r="A950" s="5" t="str">
        <f>IFERROR(__xludf.DUMMYFUNCTION("""COMPUTED_VALUE"""),"Outbound")</f>
        <v>Outbound</v>
      </c>
      <c r="B950" s="5">
        <f>IFERROR(__xludf.DUMMYFUNCTION("""COMPUTED_VALUE"""),170.0)</f>
        <v>170</v>
      </c>
      <c r="C950" s="5" t="str">
        <f>IFERROR(__xludf.DUMMYFUNCTION("""COMPUTED_VALUE"""),"APHRODITE M")</f>
        <v>APHRODITE M</v>
      </c>
      <c r="D950" s="5">
        <f>IFERROR(__xludf.DUMMYFUNCTION("""COMPUTED_VALUE"""),9450832.0)</f>
        <v>9450832</v>
      </c>
      <c r="E950" s="5" t="str">
        <f>IFERROR(__xludf.DUMMYFUNCTION("""COMPUTED_VALUE"""),"Chornomorsk")</f>
        <v>Chornomorsk</v>
      </c>
      <c r="F950" s="5" t="str">
        <f>IFERROR(__xludf.DUMMYFUNCTION("""COMPUTED_VALUE"""),"Spain")</f>
        <v>Spain</v>
      </c>
      <c r="G950" s="5" t="str">
        <f>IFERROR(__xludf.DUMMYFUNCTION("""COMPUTED_VALUE"""),"Sunflower seed")</f>
        <v>Sunflower seed</v>
      </c>
      <c r="H950" s="6">
        <f>IFERROR(__xludf.DUMMYFUNCTION("""COMPUTED_VALUE"""),18150.0)</f>
        <v>18150</v>
      </c>
      <c r="I950" s="7">
        <f>IFERROR(__xludf.DUMMYFUNCTION("""COMPUTED_VALUE"""),44824.0)</f>
        <v>44824</v>
      </c>
      <c r="J950" s="7">
        <f>IFERROR(__xludf.DUMMYFUNCTION("""COMPUTED_VALUE"""),44836.0)</f>
        <v>44836</v>
      </c>
      <c r="K950" s="5" t="str">
        <f>IFERROR(__xludf.DUMMYFUNCTION("""COMPUTED_VALUE"""),"high-income")</f>
        <v>high-income</v>
      </c>
      <c r="L950" s="5" t="str">
        <f>IFERROR(__xludf.DUMMYFUNCTION("""COMPUTED_VALUE"""),"Marshall Islands")</f>
        <v>Marshall Islands</v>
      </c>
      <c r="M950" s="5" t="str">
        <f>IFERROR(__xludf.DUMMYFUNCTION("""COMPUTED_VALUE"""),"Europe &amp; Central Asia")</f>
        <v>Europe &amp; Central Asia</v>
      </c>
      <c r="N950" s="5" t="str">
        <f>IFERROR(__xludf.DUMMYFUNCTION("""COMPUTED_VALUE"""),"Western Europe and Others")</f>
        <v>Western Europe and Others</v>
      </c>
      <c r="O950" s="5" t="str">
        <f>IFERROR(__xludf.DUMMYFUNCTION("""COMPUTED_VALUE"""),"developed")</f>
        <v>developed</v>
      </c>
      <c r="P950" s="5"/>
      <c r="Q950" s="5"/>
    </row>
    <row r="951">
      <c r="A951" s="5" t="str">
        <f>IFERROR(__xludf.DUMMYFUNCTION("""COMPUTED_VALUE"""),"Outbound")</f>
        <v>Outbound</v>
      </c>
      <c r="B951" s="5">
        <f>IFERROR(__xludf.DUMMYFUNCTION("""COMPUTED_VALUE"""),169.0)</f>
        <v>169</v>
      </c>
      <c r="C951" s="5" t="str">
        <f>IFERROR(__xludf.DUMMYFUNCTION("""COMPUTED_VALUE"""),"TOMAHAWK")</f>
        <v>TOMAHAWK</v>
      </c>
      <c r="D951" s="5">
        <f>IFERROR(__xludf.DUMMYFUNCTION("""COMPUTED_VALUE"""),9737591.0)</f>
        <v>9737591</v>
      </c>
      <c r="E951" s="5" t="str">
        <f>IFERROR(__xludf.DUMMYFUNCTION("""COMPUTED_VALUE"""),"Yuzhny/Pivdennyi")</f>
        <v>Yuzhny/Pivdennyi</v>
      </c>
      <c r="F951" s="5" t="str">
        <f>IFERROR(__xludf.DUMMYFUNCTION("""COMPUTED_VALUE"""),"China")</f>
        <v>China</v>
      </c>
      <c r="G951" s="5" t="str">
        <f>IFERROR(__xludf.DUMMYFUNCTION("""COMPUTED_VALUE"""),"Sunflower meal")</f>
        <v>Sunflower meal</v>
      </c>
      <c r="H951" s="6">
        <f>IFERROR(__xludf.DUMMYFUNCTION("""COMPUTED_VALUE"""),60000.0)</f>
        <v>60000</v>
      </c>
      <c r="I951" s="7">
        <f>IFERROR(__xludf.DUMMYFUNCTION("""COMPUTED_VALUE"""),44823.0)</f>
        <v>44823</v>
      </c>
      <c r="J951" s="7">
        <f>IFERROR(__xludf.DUMMYFUNCTION("""COMPUTED_VALUE"""),44834.0)</f>
        <v>44834</v>
      </c>
      <c r="K951" s="5" t="str">
        <f>IFERROR(__xludf.DUMMYFUNCTION("""COMPUTED_VALUE"""),"upper-middle-income")</f>
        <v>upper-middle-income</v>
      </c>
      <c r="L951" s="5" t="str">
        <f>IFERROR(__xludf.DUMMYFUNCTION("""COMPUTED_VALUE"""),"Liberia")</f>
        <v>Liberia</v>
      </c>
      <c r="M951" s="5" t="str">
        <f>IFERROR(__xludf.DUMMYFUNCTION("""COMPUTED_VALUE"""),"East Asia &amp; Pacific")</f>
        <v>East Asia &amp; Pacific</v>
      </c>
      <c r="N951" s="5" t="str">
        <f>IFERROR(__xludf.DUMMYFUNCTION("""COMPUTED_VALUE"""),"Asia-Pacific")</f>
        <v>Asia-Pacific</v>
      </c>
      <c r="O951" s="5" t="str">
        <f>IFERROR(__xludf.DUMMYFUNCTION("""COMPUTED_VALUE"""),"developing")</f>
        <v>developing</v>
      </c>
      <c r="P951" s="5"/>
      <c r="Q951" s="5"/>
    </row>
    <row r="952">
      <c r="A952" s="5" t="str">
        <f>IFERROR(__xludf.DUMMYFUNCTION("""COMPUTED_VALUE"""),"Outbound")</f>
        <v>Outbound</v>
      </c>
      <c r="B952" s="5">
        <f>IFERROR(__xludf.DUMMYFUNCTION("""COMPUTED_VALUE"""),168.0)</f>
        <v>168</v>
      </c>
      <c r="C952" s="5" t="str">
        <f>IFERROR(__xludf.DUMMYFUNCTION("""COMPUTED_VALUE"""),"GULMAR")</f>
        <v>GULMAR</v>
      </c>
      <c r="D952" s="5">
        <f>IFERROR(__xludf.DUMMYFUNCTION("""COMPUTED_VALUE"""),9146962.0)</f>
        <v>9146962</v>
      </c>
      <c r="E952" s="5" t="str">
        <f>IFERROR(__xludf.DUMMYFUNCTION("""COMPUTED_VALUE"""),"Odesa")</f>
        <v>Odesa</v>
      </c>
      <c r="F952" s="5" t="str">
        <f>IFERROR(__xludf.DUMMYFUNCTION("""COMPUTED_VALUE"""),"Spain")</f>
        <v>Spain</v>
      </c>
      <c r="G952" s="5" t="str">
        <f>IFERROR(__xludf.DUMMYFUNCTION("""COMPUTED_VALUE"""),"Wheat")</f>
        <v>Wheat</v>
      </c>
      <c r="H952" s="6">
        <f>IFERROR(__xludf.DUMMYFUNCTION("""COMPUTED_VALUE"""),16300.0)</f>
        <v>16300</v>
      </c>
      <c r="I952" s="7">
        <f>IFERROR(__xludf.DUMMYFUNCTION("""COMPUTED_VALUE"""),44823.0)</f>
        <v>44823</v>
      </c>
      <c r="J952" s="7">
        <f>IFERROR(__xludf.DUMMYFUNCTION("""COMPUTED_VALUE"""),44830.0)</f>
        <v>44830</v>
      </c>
      <c r="K952" s="5" t="str">
        <f>IFERROR(__xludf.DUMMYFUNCTION("""COMPUTED_VALUE"""),"high-income")</f>
        <v>high-income</v>
      </c>
      <c r="L952" s="5" t="str">
        <f>IFERROR(__xludf.DUMMYFUNCTION("""COMPUTED_VALUE"""),"Türkiye")</f>
        <v>Türkiye</v>
      </c>
      <c r="M952" s="5" t="str">
        <f>IFERROR(__xludf.DUMMYFUNCTION("""COMPUTED_VALUE"""),"Europe &amp; Central Asia")</f>
        <v>Europe &amp; Central Asia</v>
      </c>
      <c r="N952" s="5" t="str">
        <f>IFERROR(__xludf.DUMMYFUNCTION("""COMPUTED_VALUE"""),"Western Europe and Others")</f>
        <v>Western Europe and Others</v>
      </c>
      <c r="O952" s="5" t="str">
        <f>IFERROR(__xludf.DUMMYFUNCTION("""COMPUTED_VALUE"""),"developed")</f>
        <v>developed</v>
      </c>
      <c r="P952" s="5"/>
      <c r="Q952" s="5"/>
    </row>
    <row r="953">
      <c r="A953" s="5" t="str">
        <f>IFERROR(__xludf.DUMMYFUNCTION("""COMPUTED_VALUE"""),"Outbound +")</f>
        <v>Outbound +</v>
      </c>
      <c r="B953" s="5">
        <f>IFERROR(__xludf.DUMMYFUNCTION("""COMPUTED_VALUE"""),168.0)</f>
        <v>168</v>
      </c>
      <c r="C953" s="5" t="str">
        <f>IFERROR(__xludf.DUMMYFUNCTION("""COMPUTED_VALUE"""),"GULMAR")</f>
        <v>GULMAR</v>
      </c>
      <c r="D953" s="5">
        <f>IFERROR(__xludf.DUMMYFUNCTION("""COMPUTED_VALUE"""),9146962.0)</f>
        <v>9146962</v>
      </c>
      <c r="E953" s="5" t="str">
        <f>IFERROR(__xludf.DUMMYFUNCTION("""COMPUTED_VALUE"""),"Odesa")</f>
        <v>Odesa</v>
      </c>
      <c r="F953" s="5" t="str">
        <f>IFERROR(__xludf.DUMMYFUNCTION("""COMPUTED_VALUE"""),"Spain")</f>
        <v>Spain</v>
      </c>
      <c r="G953" s="5" t="str">
        <f>IFERROR(__xludf.DUMMYFUNCTION("""COMPUTED_VALUE"""),"Corn")</f>
        <v>Corn</v>
      </c>
      <c r="H953" s="6">
        <f>IFERROR(__xludf.DUMMYFUNCTION("""COMPUTED_VALUE"""),17350.0)</f>
        <v>17350</v>
      </c>
      <c r="I953" s="7">
        <f>IFERROR(__xludf.DUMMYFUNCTION("""COMPUTED_VALUE"""),44823.0)</f>
        <v>44823</v>
      </c>
      <c r="J953" s="7">
        <f>IFERROR(__xludf.DUMMYFUNCTION("""COMPUTED_VALUE"""),44830.0)</f>
        <v>44830</v>
      </c>
      <c r="K953" s="5" t="str">
        <f>IFERROR(__xludf.DUMMYFUNCTION("""COMPUTED_VALUE"""),"high-income")</f>
        <v>high-income</v>
      </c>
      <c r="L953" s="5" t="str">
        <f>IFERROR(__xludf.DUMMYFUNCTION("""COMPUTED_VALUE"""),"Türkiye")</f>
        <v>Türkiye</v>
      </c>
      <c r="M953" s="5" t="str">
        <f>IFERROR(__xludf.DUMMYFUNCTION("""COMPUTED_VALUE"""),"Europe &amp; Central Asia")</f>
        <v>Europe &amp; Central Asia</v>
      </c>
      <c r="N953" s="5" t="str">
        <f>IFERROR(__xludf.DUMMYFUNCTION("""COMPUTED_VALUE"""),"Western Europe and Others")</f>
        <v>Western Europe and Others</v>
      </c>
      <c r="O953" s="5" t="str">
        <f>IFERROR(__xludf.DUMMYFUNCTION("""COMPUTED_VALUE"""),"developed")</f>
        <v>developed</v>
      </c>
      <c r="P953" s="5"/>
      <c r="Q953" s="5"/>
    </row>
    <row r="954">
      <c r="A954" s="5" t="str">
        <f>IFERROR(__xludf.DUMMYFUNCTION("""COMPUTED_VALUE"""),"Outbound +")</f>
        <v>Outbound +</v>
      </c>
      <c r="B954" s="5">
        <f>IFERROR(__xludf.DUMMYFUNCTION("""COMPUTED_VALUE"""),168.0)</f>
        <v>168</v>
      </c>
      <c r="C954" s="5" t="str">
        <f>IFERROR(__xludf.DUMMYFUNCTION("""COMPUTED_VALUE"""),"GULMAR")</f>
        <v>GULMAR</v>
      </c>
      <c r="D954" s="5">
        <f>IFERROR(__xludf.DUMMYFUNCTION("""COMPUTED_VALUE"""),9146962.0)</f>
        <v>9146962</v>
      </c>
      <c r="E954" s="5" t="str">
        <f>IFERROR(__xludf.DUMMYFUNCTION("""COMPUTED_VALUE"""),"Odesa")</f>
        <v>Odesa</v>
      </c>
      <c r="F954" s="5" t="str">
        <f>IFERROR(__xludf.DUMMYFUNCTION("""COMPUTED_VALUE"""),"Spain")</f>
        <v>Spain</v>
      </c>
      <c r="G954" s="5" t="str">
        <f>IFERROR(__xludf.DUMMYFUNCTION("""COMPUTED_VALUE"""),"Barley")</f>
        <v>Barley</v>
      </c>
      <c r="H954" s="6">
        <f>IFERROR(__xludf.DUMMYFUNCTION("""COMPUTED_VALUE"""),8350.0)</f>
        <v>8350</v>
      </c>
      <c r="I954" s="7">
        <f>IFERROR(__xludf.DUMMYFUNCTION("""COMPUTED_VALUE"""),44823.0)</f>
        <v>44823</v>
      </c>
      <c r="J954" s="7">
        <f>IFERROR(__xludf.DUMMYFUNCTION("""COMPUTED_VALUE"""),44830.0)</f>
        <v>44830</v>
      </c>
      <c r="K954" s="5" t="str">
        <f>IFERROR(__xludf.DUMMYFUNCTION("""COMPUTED_VALUE"""),"high-income")</f>
        <v>high-income</v>
      </c>
      <c r="L954" s="5" t="str">
        <f>IFERROR(__xludf.DUMMYFUNCTION("""COMPUTED_VALUE"""),"Türkiye")</f>
        <v>Türkiye</v>
      </c>
      <c r="M954" s="5" t="str">
        <f>IFERROR(__xludf.DUMMYFUNCTION("""COMPUTED_VALUE"""),"Europe &amp; Central Asia")</f>
        <v>Europe &amp; Central Asia</v>
      </c>
      <c r="N954" s="5" t="str">
        <f>IFERROR(__xludf.DUMMYFUNCTION("""COMPUTED_VALUE"""),"Western Europe and Others")</f>
        <v>Western Europe and Others</v>
      </c>
      <c r="O954" s="5" t="str">
        <f>IFERROR(__xludf.DUMMYFUNCTION("""COMPUTED_VALUE"""),"developed")</f>
        <v>developed</v>
      </c>
      <c r="P954" s="5"/>
      <c r="Q954" s="5"/>
    </row>
    <row r="955">
      <c r="A955" s="5" t="str">
        <f>IFERROR(__xludf.DUMMYFUNCTION("""COMPUTED_VALUE"""),"Outbound")</f>
        <v>Outbound</v>
      </c>
      <c r="B955" s="5">
        <f>IFERROR(__xludf.DUMMYFUNCTION("""COMPUTED_VALUE"""),167.0)</f>
        <v>167</v>
      </c>
      <c r="C955" s="5" t="str">
        <f>IFERROR(__xludf.DUMMYFUNCTION("""COMPUTED_VALUE"""),"FULMAR S")</f>
        <v>FULMAR S</v>
      </c>
      <c r="D955" s="5">
        <f>IFERROR(__xludf.DUMMYFUNCTION("""COMPUTED_VALUE"""),9370082.0)</f>
        <v>9370082</v>
      </c>
      <c r="E955" s="5" t="str">
        <f>IFERROR(__xludf.DUMMYFUNCTION("""COMPUTED_VALUE"""),"Odesa")</f>
        <v>Odesa</v>
      </c>
      <c r="F955" s="5" t="str">
        <f>IFERROR(__xludf.DUMMYFUNCTION("""COMPUTED_VALUE"""),"Italy")</f>
        <v>Italy</v>
      </c>
      <c r="G955" s="5" t="str">
        <f>IFERROR(__xludf.DUMMYFUNCTION("""COMPUTED_VALUE"""),"Sunflower meal")</f>
        <v>Sunflower meal</v>
      </c>
      <c r="H955" s="6">
        <f>IFERROR(__xludf.DUMMYFUNCTION("""COMPUTED_VALUE"""),4400.0)</f>
        <v>4400</v>
      </c>
      <c r="I955" s="7">
        <f>IFERROR(__xludf.DUMMYFUNCTION("""COMPUTED_VALUE"""),44823.0)</f>
        <v>44823</v>
      </c>
      <c r="J955" s="7">
        <f>IFERROR(__xludf.DUMMYFUNCTION("""COMPUTED_VALUE"""),44830.0)</f>
        <v>44830</v>
      </c>
      <c r="K955" s="5" t="str">
        <f>IFERROR(__xludf.DUMMYFUNCTION("""COMPUTED_VALUE"""),"high-income")</f>
        <v>high-income</v>
      </c>
      <c r="L955" s="5" t="str">
        <f>IFERROR(__xludf.DUMMYFUNCTION("""COMPUTED_VALUE"""),"Barbados")</f>
        <v>Barbados</v>
      </c>
      <c r="M955" s="5" t="str">
        <f>IFERROR(__xludf.DUMMYFUNCTION("""COMPUTED_VALUE"""),"Europe &amp; Central Asia")</f>
        <v>Europe &amp; Central Asia</v>
      </c>
      <c r="N955" s="5" t="str">
        <f>IFERROR(__xludf.DUMMYFUNCTION("""COMPUTED_VALUE"""),"Western Europe and Others")</f>
        <v>Western Europe and Others</v>
      </c>
      <c r="O955" s="5" t="str">
        <f>IFERROR(__xludf.DUMMYFUNCTION("""COMPUTED_VALUE"""),"developed")</f>
        <v>developed</v>
      </c>
      <c r="P955" s="5"/>
      <c r="Q955" s="5"/>
    </row>
    <row r="956">
      <c r="A956" s="5" t="str">
        <f>IFERROR(__xludf.DUMMYFUNCTION("""COMPUTED_VALUE"""),"Outbound +")</f>
        <v>Outbound +</v>
      </c>
      <c r="B956" s="5">
        <f>IFERROR(__xludf.DUMMYFUNCTION("""COMPUTED_VALUE"""),167.0)</f>
        <v>167</v>
      </c>
      <c r="C956" s="5" t="str">
        <f>IFERROR(__xludf.DUMMYFUNCTION("""COMPUTED_VALUE"""),"FULMAR S")</f>
        <v>FULMAR S</v>
      </c>
      <c r="D956" s="5">
        <f>IFERROR(__xludf.DUMMYFUNCTION("""COMPUTED_VALUE"""),9370082.0)</f>
        <v>9370082</v>
      </c>
      <c r="E956" s="5" t="str">
        <f>IFERROR(__xludf.DUMMYFUNCTION("""COMPUTED_VALUE"""),"Odesa")</f>
        <v>Odesa</v>
      </c>
      <c r="F956" s="5" t="str">
        <f>IFERROR(__xludf.DUMMYFUNCTION("""COMPUTED_VALUE"""),"Italy")</f>
        <v>Italy</v>
      </c>
      <c r="G956" s="5" t="str">
        <f>IFERROR(__xludf.DUMMYFUNCTION("""COMPUTED_VALUE"""),"Rapeseed meal")</f>
        <v>Rapeseed meal</v>
      </c>
      <c r="H956" s="6">
        <f>IFERROR(__xludf.DUMMYFUNCTION("""COMPUTED_VALUE"""),3400.0)</f>
        <v>3400</v>
      </c>
      <c r="I956" s="7">
        <f>IFERROR(__xludf.DUMMYFUNCTION("""COMPUTED_VALUE"""),44823.0)</f>
        <v>44823</v>
      </c>
      <c r="J956" s="7">
        <f>IFERROR(__xludf.DUMMYFUNCTION("""COMPUTED_VALUE"""),44830.0)</f>
        <v>44830</v>
      </c>
      <c r="K956" s="5" t="str">
        <f>IFERROR(__xludf.DUMMYFUNCTION("""COMPUTED_VALUE"""),"high-income")</f>
        <v>high-income</v>
      </c>
      <c r="L956" s="5" t="str">
        <f>IFERROR(__xludf.DUMMYFUNCTION("""COMPUTED_VALUE"""),"Barbados")</f>
        <v>Barbados</v>
      </c>
      <c r="M956" s="5" t="str">
        <f>IFERROR(__xludf.DUMMYFUNCTION("""COMPUTED_VALUE"""),"Europe &amp; Central Asia")</f>
        <v>Europe &amp; Central Asia</v>
      </c>
      <c r="N956" s="5" t="str">
        <f>IFERROR(__xludf.DUMMYFUNCTION("""COMPUTED_VALUE"""),"Western Europe and Others")</f>
        <v>Western Europe and Others</v>
      </c>
      <c r="O956" s="5" t="str">
        <f>IFERROR(__xludf.DUMMYFUNCTION("""COMPUTED_VALUE"""),"developed")</f>
        <v>developed</v>
      </c>
      <c r="P956" s="5"/>
      <c r="Q956" s="5"/>
    </row>
    <row r="957">
      <c r="A957" s="5" t="str">
        <f>IFERROR(__xludf.DUMMYFUNCTION("""COMPUTED_VALUE"""),"Outbound")</f>
        <v>Outbound</v>
      </c>
      <c r="B957" s="5">
        <f>IFERROR(__xludf.DUMMYFUNCTION("""COMPUTED_VALUE"""),166.0)</f>
        <v>166</v>
      </c>
      <c r="C957" s="5" t="str">
        <f>IFERROR(__xludf.DUMMYFUNCTION("""COMPUTED_VALUE"""),"ESENCE")</f>
        <v>ESENCE</v>
      </c>
      <c r="D957" s="5">
        <f>IFERROR(__xludf.DUMMYFUNCTION("""COMPUTED_VALUE"""),7827342.0)</f>
        <v>7827342</v>
      </c>
      <c r="E957" s="5" t="str">
        <f>IFERROR(__xludf.DUMMYFUNCTION("""COMPUTED_VALUE"""),"Chornomorsk")</f>
        <v>Chornomorsk</v>
      </c>
      <c r="F957" s="5" t="str">
        <f>IFERROR(__xludf.DUMMYFUNCTION("""COMPUTED_VALUE"""),"Türkiye")</f>
        <v>Türkiye</v>
      </c>
      <c r="G957" s="5" t="str">
        <f>IFERROR(__xludf.DUMMYFUNCTION("""COMPUTED_VALUE"""),"Wheat")</f>
        <v>Wheat</v>
      </c>
      <c r="H957" s="6">
        <f>IFERROR(__xludf.DUMMYFUNCTION("""COMPUTED_VALUE"""),3000.0)</f>
        <v>3000</v>
      </c>
      <c r="I957" s="7">
        <f>IFERROR(__xludf.DUMMYFUNCTION("""COMPUTED_VALUE"""),44823.0)</f>
        <v>44823</v>
      </c>
      <c r="J957" s="7">
        <f>IFERROR(__xludf.DUMMYFUNCTION("""COMPUTED_VALUE"""),44833.0)</f>
        <v>44833</v>
      </c>
      <c r="K957" s="5" t="str">
        <f>IFERROR(__xludf.DUMMYFUNCTION("""COMPUTED_VALUE"""),"upper-middle-income")</f>
        <v>upper-middle-income</v>
      </c>
      <c r="L957" s="5" t="str">
        <f>IFERROR(__xludf.DUMMYFUNCTION("""COMPUTED_VALUE"""),"Palau")</f>
        <v>Palau</v>
      </c>
      <c r="M957" s="5" t="str">
        <f>IFERROR(__xludf.DUMMYFUNCTION("""COMPUTED_VALUE"""),"Europe &amp; Central Asia")</f>
        <v>Europe &amp; Central Asia</v>
      </c>
      <c r="N957" s="5" t="str">
        <f>IFERROR(__xludf.DUMMYFUNCTION("""COMPUTED_VALUE"""),"Asia-Pacific")</f>
        <v>Asia-Pacific</v>
      </c>
      <c r="O957" s="5" t="str">
        <f>IFERROR(__xludf.DUMMYFUNCTION("""COMPUTED_VALUE"""),"developing")</f>
        <v>developing</v>
      </c>
      <c r="P957" s="5"/>
      <c r="Q957" s="5"/>
    </row>
    <row r="958">
      <c r="A958" s="5" t="str">
        <f>IFERROR(__xludf.DUMMYFUNCTION("""COMPUTED_VALUE"""),"Outbound")</f>
        <v>Outbound</v>
      </c>
      <c r="B958" s="5">
        <f>IFERROR(__xludf.DUMMYFUNCTION("""COMPUTED_VALUE"""),165.0)</f>
        <v>165</v>
      </c>
      <c r="C958" s="5" t="str">
        <f>IFERROR(__xludf.DUMMYFUNCTION("""COMPUTED_VALUE"""),"ARCTURUS")</f>
        <v>ARCTURUS</v>
      </c>
      <c r="D958" s="5">
        <f>IFERROR(__xludf.DUMMYFUNCTION("""COMPUTED_VALUE"""),9221334.0)</f>
        <v>9221334</v>
      </c>
      <c r="E958" s="5" t="str">
        <f>IFERROR(__xludf.DUMMYFUNCTION("""COMPUTED_VALUE"""),"Yuzhny/Pivdennyi")</f>
        <v>Yuzhny/Pivdennyi</v>
      </c>
      <c r="F958" s="5" t="str">
        <f>IFERROR(__xludf.DUMMYFUNCTION("""COMPUTED_VALUE"""),"Spain")</f>
        <v>Spain</v>
      </c>
      <c r="G958" s="5" t="str">
        <f>IFERROR(__xludf.DUMMYFUNCTION("""COMPUTED_VALUE"""),"Wheat")</f>
        <v>Wheat</v>
      </c>
      <c r="H958" s="6">
        <f>IFERROR(__xludf.DUMMYFUNCTION("""COMPUTED_VALUE"""),69080.0)</f>
        <v>69080</v>
      </c>
      <c r="I958" s="7">
        <f>IFERROR(__xludf.DUMMYFUNCTION("""COMPUTED_VALUE"""),44823.0)</f>
        <v>44823</v>
      </c>
      <c r="J958" s="7">
        <f>IFERROR(__xludf.DUMMYFUNCTION("""COMPUTED_VALUE"""),44833.0)</f>
        <v>44833</v>
      </c>
      <c r="K958" s="5" t="str">
        <f>IFERROR(__xludf.DUMMYFUNCTION("""COMPUTED_VALUE"""),"high-income")</f>
        <v>high-income</v>
      </c>
      <c r="L958" s="5" t="str">
        <f>IFERROR(__xludf.DUMMYFUNCTION("""COMPUTED_VALUE"""),"Liberia")</f>
        <v>Liberia</v>
      </c>
      <c r="M958" s="5" t="str">
        <f>IFERROR(__xludf.DUMMYFUNCTION("""COMPUTED_VALUE"""),"Europe &amp; Central Asia")</f>
        <v>Europe &amp; Central Asia</v>
      </c>
      <c r="N958" s="5" t="str">
        <f>IFERROR(__xludf.DUMMYFUNCTION("""COMPUTED_VALUE"""),"Western Europe and Others")</f>
        <v>Western Europe and Others</v>
      </c>
      <c r="O958" s="5" t="str">
        <f>IFERROR(__xludf.DUMMYFUNCTION("""COMPUTED_VALUE"""),"developed")</f>
        <v>developed</v>
      </c>
      <c r="P958" s="5"/>
      <c r="Q958" s="5"/>
    </row>
    <row r="959">
      <c r="A959" s="5" t="str">
        <f>IFERROR(__xludf.DUMMYFUNCTION("""COMPUTED_VALUE"""),"Outbound")</f>
        <v>Outbound</v>
      </c>
      <c r="B959" s="5">
        <f>IFERROR(__xludf.DUMMYFUNCTION("""COMPUTED_VALUE"""),164.0)</f>
        <v>164</v>
      </c>
      <c r="C959" s="5" t="str">
        <f>IFERROR(__xludf.DUMMYFUNCTION("""COMPUTED_VALUE"""),"AKSON SARA")</f>
        <v>AKSON SARA</v>
      </c>
      <c r="D959" s="5">
        <f>IFERROR(__xludf.DUMMYFUNCTION("""COMPUTED_VALUE"""),9475739.0)</f>
        <v>9475739</v>
      </c>
      <c r="E959" s="5" t="str">
        <f>IFERROR(__xludf.DUMMYFUNCTION("""COMPUTED_VALUE"""),"Yuzhny/Pivdennyi")</f>
        <v>Yuzhny/Pivdennyi</v>
      </c>
      <c r="F959" s="5" t="str">
        <f>IFERROR(__xludf.DUMMYFUNCTION("""COMPUTED_VALUE"""),"Italy")</f>
        <v>Italy</v>
      </c>
      <c r="G959" s="5" t="str">
        <f>IFERROR(__xludf.DUMMYFUNCTION("""COMPUTED_VALUE"""),"Corn")</f>
        <v>Corn</v>
      </c>
      <c r="H959" s="6">
        <f>IFERROR(__xludf.DUMMYFUNCTION("""COMPUTED_VALUE"""),30700.0)</f>
        <v>30700</v>
      </c>
      <c r="I959" s="7">
        <f>IFERROR(__xludf.DUMMYFUNCTION("""COMPUTED_VALUE"""),44823.0)</f>
        <v>44823</v>
      </c>
      <c r="J959" s="7">
        <f>IFERROR(__xludf.DUMMYFUNCTION("""COMPUTED_VALUE"""),44834.0)</f>
        <v>44834</v>
      </c>
      <c r="K959" s="5" t="str">
        <f>IFERROR(__xludf.DUMMYFUNCTION("""COMPUTED_VALUE"""),"high-income")</f>
        <v>high-income</v>
      </c>
      <c r="L959" s="5" t="str">
        <f>IFERROR(__xludf.DUMMYFUNCTION("""COMPUTED_VALUE"""),"Panama")</f>
        <v>Panama</v>
      </c>
      <c r="M959" s="5" t="str">
        <f>IFERROR(__xludf.DUMMYFUNCTION("""COMPUTED_VALUE"""),"Europe &amp; Central Asia")</f>
        <v>Europe &amp; Central Asia</v>
      </c>
      <c r="N959" s="5" t="str">
        <f>IFERROR(__xludf.DUMMYFUNCTION("""COMPUTED_VALUE"""),"Western Europe and Others")</f>
        <v>Western Europe and Others</v>
      </c>
      <c r="O959" s="5" t="str">
        <f>IFERROR(__xludf.DUMMYFUNCTION("""COMPUTED_VALUE"""),"developed")</f>
        <v>developed</v>
      </c>
      <c r="P959" s="5"/>
      <c r="Q959" s="5"/>
    </row>
    <row r="960">
      <c r="A960" s="5" t="str">
        <f>IFERROR(__xludf.DUMMYFUNCTION("""COMPUTED_VALUE"""),"Outbound")</f>
        <v>Outbound</v>
      </c>
      <c r="B960" s="5">
        <f>IFERROR(__xludf.DUMMYFUNCTION("""COMPUTED_VALUE"""),163.0)</f>
        <v>163</v>
      </c>
      <c r="C960" s="5" t="str">
        <f>IFERROR(__xludf.DUMMYFUNCTION("""COMPUTED_VALUE"""),"SK FRIENDSHIP")</f>
        <v>SK FRIENDSHIP</v>
      </c>
      <c r="D960" s="5">
        <f>IFERROR(__xludf.DUMMYFUNCTION("""COMPUTED_VALUE"""),8909446.0)</f>
        <v>8909446</v>
      </c>
      <c r="E960" s="5" t="str">
        <f>IFERROR(__xludf.DUMMYFUNCTION("""COMPUTED_VALUE"""),"Chornomorsk")</f>
        <v>Chornomorsk</v>
      </c>
      <c r="F960" s="5" t="str">
        <f>IFERROR(__xludf.DUMMYFUNCTION("""COMPUTED_VALUE"""),"Türkiye")</f>
        <v>Türkiye</v>
      </c>
      <c r="G960" s="5" t="str">
        <f>IFERROR(__xludf.DUMMYFUNCTION("""COMPUTED_VALUE"""),"Wheat")</f>
        <v>Wheat</v>
      </c>
      <c r="H960" s="6">
        <f>IFERROR(__xludf.DUMMYFUNCTION("""COMPUTED_VALUE"""),6900.0)</f>
        <v>6900</v>
      </c>
      <c r="I960" s="7">
        <f>IFERROR(__xludf.DUMMYFUNCTION("""COMPUTED_VALUE"""),44822.0)</f>
        <v>44822</v>
      </c>
      <c r="J960" s="7">
        <f>IFERROR(__xludf.DUMMYFUNCTION("""COMPUTED_VALUE"""),44833.0)</f>
        <v>44833</v>
      </c>
      <c r="K960" s="5" t="str">
        <f>IFERROR(__xludf.DUMMYFUNCTION("""COMPUTED_VALUE"""),"upper-middle-income")</f>
        <v>upper-middle-income</v>
      </c>
      <c r="L960" s="5" t="str">
        <f>IFERROR(__xludf.DUMMYFUNCTION("""COMPUTED_VALUE"""),"Togo")</f>
        <v>Togo</v>
      </c>
      <c r="M960" s="5" t="str">
        <f>IFERROR(__xludf.DUMMYFUNCTION("""COMPUTED_VALUE"""),"Europe &amp; Central Asia")</f>
        <v>Europe &amp; Central Asia</v>
      </c>
      <c r="N960" s="5" t="str">
        <f>IFERROR(__xludf.DUMMYFUNCTION("""COMPUTED_VALUE"""),"Asia-Pacific")</f>
        <v>Asia-Pacific</v>
      </c>
      <c r="O960" s="5" t="str">
        <f>IFERROR(__xludf.DUMMYFUNCTION("""COMPUTED_VALUE"""),"developing")</f>
        <v>developing</v>
      </c>
      <c r="P960" s="5"/>
      <c r="Q960" s="5"/>
    </row>
    <row r="961">
      <c r="A961" s="5" t="str">
        <f>IFERROR(__xludf.DUMMYFUNCTION("""COMPUTED_VALUE"""),"Outbound")</f>
        <v>Outbound</v>
      </c>
      <c r="B961" s="5">
        <f>IFERROR(__xludf.DUMMYFUNCTION("""COMPUTED_VALUE"""),162.0)</f>
        <v>162</v>
      </c>
      <c r="C961" s="5" t="str">
        <f>IFERROR(__xludf.DUMMYFUNCTION("""COMPUTED_VALUE"""),"RUBYMAR")</f>
        <v>RUBYMAR</v>
      </c>
      <c r="D961" s="5">
        <f>IFERROR(__xludf.DUMMYFUNCTION("""COMPUTED_VALUE"""),9138898.0)</f>
        <v>9138898</v>
      </c>
      <c r="E961" s="5" t="str">
        <f>IFERROR(__xludf.DUMMYFUNCTION("""COMPUTED_VALUE"""),"Odesa")</f>
        <v>Odesa</v>
      </c>
      <c r="F961" s="5" t="str">
        <f>IFERROR(__xludf.DUMMYFUNCTION("""COMPUTED_VALUE"""),"Egypt")</f>
        <v>Egypt</v>
      </c>
      <c r="G961" s="5" t="str">
        <f>IFERROR(__xludf.DUMMYFUNCTION("""COMPUTED_VALUE"""),"Corn")</f>
        <v>Corn</v>
      </c>
      <c r="H961" s="6">
        <f>IFERROR(__xludf.DUMMYFUNCTION("""COMPUTED_VALUE"""),29600.0)</f>
        <v>29600</v>
      </c>
      <c r="I961" s="7">
        <f>IFERROR(__xludf.DUMMYFUNCTION("""COMPUTED_VALUE"""),44822.0)</f>
        <v>44822</v>
      </c>
      <c r="J961" s="7">
        <f>IFERROR(__xludf.DUMMYFUNCTION("""COMPUTED_VALUE"""),44831.0)</f>
        <v>44831</v>
      </c>
      <c r="K961" s="5" t="str">
        <f>IFERROR(__xludf.DUMMYFUNCTION("""COMPUTED_VALUE"""),"lower-middle income")</f>
        <v>lower-middle income</v>
      </c>
      <c r="L961" s="5" t="str">
        <f>IFERROR(__xludf.DUMMYFUNCTION("""COMPUTED_VALUE"""),"Belize")</f>
        <v>Belize</v>
      </c>
      <c r="M961" s="5" t="str">
        <f>IFERROR(__xludf.DUMMYFUNCTION("""COMPUTED_VALUE"""),"Middle East &amp; North Africa")</f>
        <v>Middle East &amp; North Africa</v>
      </c>
      <c r="N961" s="5" t="str">
        <f>IFERROR(__xludf.DUMMYFUNCTION("""COMPUTED_VALUE"""),"Africa")</f>
        <v>Africa</v>
      </c>
      <c r="O961" s="5" t="str">
        <f>IFERROR(__xludf.DUMMYFUNCTION("""COMPUTED_VALUE"""),"developing")</f>
        <v>developing</v>
      </c>
      <c r="P961" s="5"/>
      <c r="Q961" s="5"/>
    </row>
    <row r="962">
      <c r="A962" s="5" t="str">
        <f>IFERROR(__xludf.DUMMYFUNCTION("""COMPUTED_VALUE"""),"Outbound")</f>
        <v>Outbound</v>
      </c>
      <c r="B962" s="5">
        <f>IFERROR(__xludf.DUMMYFUNCTION("""COMPUTED_VALUE"""),161.0)</f>
        <v>161</v>
      </c>
      <c r="C962" s="5" t="str">
        <f>IFERROR(__xludf.DUMMYFUNCTION("""COMPUTED_VALUE"""),"KAUNAS")</f>
        <v>KAUNAS</v>
      </c>
      <c r="D962" s="5">
        <f>IFERROR(__xludf.DUMMYFUNCTION("""COMPUTED_VALUE"""),8311924.0)</f>
        <v>8311924</v>
      </c>
      <c r="E962" s="5" t="str">
        <f>IFERROR(__xludf.DUMMYFUNCTION("""COMPUTED_VALUE"""),"Chornomorsk")</f>
        <v>Chornomorsk</v>
      </c>
      <c r="F962" s="5" t="str">
        <f>IFERROR(__xludf.DUMMYFUNCTION("""COMPUTED_VALUE"""),"Türkiye")</f>
        <v>Türkiye</v>
      </c>
      <c r="G962" s="5" t="str">
        <f>IFERROR(__xludf.DUMMYFUNCTION("""COMPUTED_VALUE"""),"Corn")</f>
        <v>Corn</v>
      </c>
      <c r="H962" s="6">
        <f>IFERROR(__xludf.DUMMYFUNCTION("""COMPUTED_VALUE"""),525.0)</f>
        <v>525</v>
      </c>
      <c r="I962" s="7">
        <f>IFERROR(__xludf.DUMMYFUNCTION("""COMPUTED_VALUE"""),44822.0)</f>
        <v>44822</v>
      </c>
      <c r="J962" s="7">
        <f>IFERROR(__xludf.DUMMYFUNCTION("""COMPUTED_VALUE"""),44828.0)</f>
        <v>44828</v>
      </c>
      <c r="K962" s="5" t="str">
        <f>IFERROR(__xludf.DUMMYFUNCTION("""COMPUTED_VALUE"""),"upper-middle-income")</f>
        <v>upper-middle-income</v>
      </c>
      <c r="L962" s="5" t="str">
        <f>IFERROR(__xludf.DUMMYFUNCTION("""COMPUTED_VALUE"""),"Panama")</f>
        <v>Panama</v>
      </c>
      <c r="M962" s="5" t="str">
        <f>IFERROR(__xludf.DUMMYFUNCTION("""COMPUTED_VALUE"""),"Europe &amp; Central Asia")</f>
        <v>Europe &amp; Central Asia</v>
      </c>
      <c r="N962" s="5" t="str">
        <f>IFERROR(__xludf.DUMMYFUNCTION("""COMPUTED_VALUE"""),"Asia-Pacific")</f>
        <v>Asia-Pacific</v>
      </c>
      <c r="O962" s="5" t="str">
        <f>IFERROR(__xludf.DUMMYFUNCTION("""COMPUTED_VALUE"""),"developing")</f>
        <v>developing</v>
      </c>
      <c r="P962" s="5"/>
      <c r="Q962" s="5" t="str">
        <f>IFERROR(__xludf.DUMMYFUNCTION("""COMPUTED_VALUE"""),"Stranded")</f>
        <v>Stranded</v>
      </c>
    </row>
    <row r="963">
      <c r="A963" s="5" t="str">
        <f>IFERROR(__xludf.DUMMYFUNCTION("""COMPUTED_VALUE"""),"Outbound")</f>
        <v>Outbound</v>
      </c>
      <c r="B963" s="5">
        <f>IFERROR(__xludf.DUMMYFUNCTION("""COMPUTED_VALUE"""),160.0)</f>
        <v>160</v>
      </c>
      <c r="C963" s="5" t="str">
        <f>IFERROR(__xludf.DUMMYFUNCTION("""COMPUTED_VALUE"""),"KAFKAM ETLER")</f>
        <v>KAFKAM ETLER</v>
      </c>
      <c r="D963" s="5">
        <f>IFERROR(__xludf.DUMMYFUNCTION("""COMPUTED_VALUE"""),9001112.0)</f>
        <v>9001112</v>
      </c>
      <c r="E963" s="5" t="str">
        <f>IFERROR(__xludf.DUMMYFUNCTION("""COMPUTED_VALUE"""),"Chornomorsk")</f>
        <v>Chornomorsk</v>
      </c>
      <c r="F963" s="5" t="str">
        <f>IFERROR(__xludf.DUMMYFUNCTION("""COMPUTED_VALUE"""),"Türkiye")</f>
        <v>Türkiye</v>
      </c>
      <c r="G963" s="5" t="str">
        <f>IFERROR(__xludf.DUMMYFUNCTION("""COMPUTED_VALUE"""),"Corn")</f>
        <v>Corn</v>
      </c>
      <c r="H963" s="6">
        <f>IFERROR(__xludf.DUMMYFUNCTION("""COMPUTED_VALUE"""),2413.0)</f>
        <v>2413</v>
      </c>
      <c r="I963" s="7">
        <f>IFERROR(__xludf.DUMMYFUNCTION("""COMPUTED_VALUE"""),44822.0)</f>
        <v>44822</v>
      </c>
      <c r="J963" s="7">
        <f>IFERROR(__xludf.DUMMYFUNCTION("""COMPUTED_VALUE"""),44833.0)</f>
        <v>44833</v>
      </c>
      <c r="K963" s="5" t="str">
        <f>IFERROR(__xludf.DUMMYFUNCTION("""COMPUTED_VALUE"""),"upper-middle-income")</f>
        <v>upper-middle-income</v>
      </c>
      <c r="L963" s="5" t="str">
        <f>IFERROR(__xludf.DUMMYFUNCTION("""COMPUTED_VALUE"""),"Türkiye")</f>
        <v>Türkiye</v>
      </c>
      <c r="M963" s="5" t="str">
        <f>IFERROR(__xludf.DUMMYFUNCTION("""COMPUTED_VALUE"""),"Europe &amp; Central Asia")</f>
        <v>Europe &amp; Central Asia</v>
      </c>
      <c r="N963" s="5" t="str">
        <f>IFERROR(__xludf.DUMMYFUNCTION("""COMPUTED_VALUE"""),"Asia-Pacific")</f>
        <v>Asia-Pacific</v>
      </c>
      <c r="O963" s="5" t="str">
        <f>IFERROR(__xludf.DUMMYFUNCTION("""COMPUTED_VALUE"""),"developing")</f>
        <v>developing</v>
      </c>
      <c r="P963" s="5"/>
      <c r="Q963" s="5"/>
    </row>
    <row r="964">
      <c r="A964" s="5" t="str">
        <f>IFERROR(__xludf.DUMMYFUNCTION("""COMPUTED_VALUE"""),"Outbound")</f>
        <v>Outbound</v>
      </c>
      <c r="B964" s="5">
        <f>IFERROR(__xludf.DUMMYFUNCTION("""COMPUTED_VALUE"""),159.0)</f>
        <v>159</v>
      </c>
      <c r="C964" s="5" t="str">
        <f>IFERROR(__xludf.DUMMYFUNCTION("""COMPUTED_VALUE"""),"GENOA")</f>
        <v>GENOA</v>
      </c>
      <c r="D964" s="5">
        <f>IFERROR(__xludf.DUMMYFUNCTION("""COMPUTED_VALUE"""),9805659.0)</f>
        <v>9805659</v>
      </c>
      <c r="E964" s="5" t="str">
        <f>IFERROR(__xludf.DUMMYFUNCTION("""COMPUTED_VALUE"""),"Chornomorsk")</f>
        <v>Chornomorsk</v>
      </c>
      <c r="F964" s="5" t="str">
        <f>IFERROR(__xludf.DUMMYFUNCTION("""COMPUTED_VALUE"""),"Portugal")</f>
        <v>Portugal</v>
      </c>
      <c r="G964" s="5" t="str">
        <f>IFERROR(__xludf.DUMMYFUNCTION("""COMPUTED_VALUE"""),"Canola")</f>
        <v>Canola</v>
      </c>
      <c r="H964" s="6">
        <f>IFERROR(__xludf.DUMMYFUNCTION("""COMPUTED_VALUE"""),22000.0)</f>
        <v>22000</v>
      </c>
      <c r="I964" s="7">
        <f>IFERROR(__xludf.DUMMYFUNCTION("""COMPUTED_VALUE"""),44822.0)</f>
        <v>44822</v>
      </c>
      <c r="J964" s="7">
        <f>IFERROR(__xludf.DUMMYFUNCTION("""COMPUTED_VALUE"""),44827.0)</f>
        <v>44827</v>
      </c>
      <c r="K964" s="5" t="str">
        <f>IFERROR(__xludf.DUMMYFUNCTION("""COMPUTED_VALUE"""),"high-income")</f>
        <v>high-income</v>
      </c>
      <c r="L964" s="5" t="str">
        <f>IFERROR(__xludf.DUMMYFUNCTION("""COMPUTED_VALUE"""),"Malta")</f>
        <v>Malta</v>
      </c>
      <c r="M964" s="5" t="str">
        <f>IFERROR(__xludf.DUMMYFUNCTION("""COMPUTED_VALUE"""),"Europe &amp; Central Asia")</f>
        <v>Europe &amp; Central Asia</v>
      </c>
      <c r="N964" s="5" t="str">
        <f>IFERROR(__xludf.DUMMYFUNCTION("""COMPUTED_VALUE"""),"Western Europe and Others")</f>
        <v>Western Europe and Others</v>
      </c>
      <c r="O964" s="5" t="str">
        <f>IFERROR(__xludf.DUMMYFUNCTION("""COMPUTED_VALUE"""),"developed")</f>
        <v>developed</v>
      </c>
      <c r="P964" s="5"/>
      <c r="Q964" s="5"/>
    </row>
    <row r="965">
      <c r="A965" s="5" t="str">
        <f>IFERROR(__xludf.DUMMYFUNCTION("""COMPUTED_VALUE"""),"Outbound +")</f>
        <v>Outbound +</v>
      </c>
      <c r="B965" s="5">
        <f>IFERROR(__xludf.DUMMYFUNCTION("""COMPUTED_VALUE"""),159.0)</f>
        <v>159</v>
      </c>
      <c r="C965" s="5" t="str">
        <f>IFERROR(__xludf.DUMMYFUNCTION("""COMPUTED_VALUE"""),"GENOA")</f>
        <v>GENOA</v>
      </c>
      <c r="D965" s="5">
        <f>IFERROR(__xludf.DUMMYFUNCTION("""COMPUTED_VALUE"""),9805659.0)</f>
        <v>9805659</v>
      </c>
      <c r="E965" s="5" t="str">
        <f>IFERROR(__xludf.DUMMYFUNCTION("""COMPUTED_VALUE"""),"Chornomorsk")</f>
        <v>Chornomorsk</v>
      </c>
      <c r="F965" s="5" t="str">
        <f>IFERROR(__xludf.DUMMYFUNCTION("""COMPUTED_VALUE"""),"France")</f>
        <v>France</v>
      </c>
      <c r="G965" s="5" t="str">
        <f>IFERROR(__xludf.DUMMYFUNCTION("""COMPUTED_VALUE"""),"Canola")</f>
        <v>Canola</v>
      </c>
      <c r="H965" s="6">
        <f>IFERROR(__xludf.DUMMYFUNCTION("""COMPUTED_VALUE"""),29256.0)</f>
        <v>29256</v>
      </c>
      <c r="I965" s="7">
        <f>IFERROR(__xludf.DUMMYFUNCTION("""COMPUTED_VALUE"""),44822.0)</f>
        <v>44822</v>
      </c>
      <c r="J965" s="7">
        <f>IFERROR(__xludf.DUMMYFUNCTION("""COMPUTED_VALUE"""),44827.0)</f>
        <v>44827</v>
      </c>
      <c r="K965" s="5" t="str">
        <f>IFERROR(__xludf.DUMMYFUNCTION("""COMPUTED_VALUE"""),"high-income")</f>
        <v>high-income</v>
      </c>
      <c r="L965" s="5" t="str">
        <f>IFERROR(__xludf.DUMMYFUNCTION("""COMPUTED_VALUE"""),"Malta")</f>
        <v>Malta</v>
      </c>
      <c r="M965" s="5" t="str">
        <f>IFERROR(__xludf.DUMMYFUNCTION("""COMPUTED_VALUE"""),"Europe &amp; Central Asia")</f>
        <v>Europe &amp; Central Asia</v>
      </c>
      <c r="N965" s="5" t="str">
        <f>IFERROR(__xludf.DUMMYFUNCTION("""COMPUTED_VALUE"""),"Western Europe and Others")</f>
        <v>Western Europe and Others</v>
      </c>
      <c r="O965" s="5" t="str">
        <f>IFERROR(__xludf.DUMMYFUNCTION("""COMPUTED_VALUE"""),"developed")</f>
        <v>developed</v>
      </c>
      <c r="P965" s="5"/>
      <c r="Q965" s="5"/>
    </row>
    <row r="966">
      <c r="A966" s="5" t="str">
        <f>IFERROR(__xludf.DUMMYFUNCTION("""COMPUTED_VALUE"""),"Outbound")</f>
        <v>Outbound</v>
      </c>
      <c r="B966" s="5">
        <f>IFERROR(__xludf.DUMMYFUNCTION("""COMPUTED_VALUE"""),158.0)</f>
        <v>158</v>
      </c>
      <c r="C966" s="5" t="str">
        <f>IFERROR(__xludf.DUMMYFUNCTION("""COMPUTED_VALUE"""),"CPT. AHMAD II")</f>
        <v>CPT. AHMAD II</v>
      </c>
      <c r="D966" s="5">
        <f>IFERROR(__xludf.DUMMYFUNCTION("""COMPUTED_VALUE"""),9031430.0)</f>
        <v>9031430</v>
      </c>
      <c r="E966" s="5" t="str">
        <f>IFERROR(__xludf.DUMMYFUNCTION("""COMPUTED_VALUE"""),"Chornomorsk")</f>
        <v>Chornomorsk</v>
      </c>
      <c r="F966" s="5" t="str">
        <f>IFERROR(__xludf.DUMMYFUNCTION("""COMPUTED_VALUE"""),"Türkiye")</f>
        <v>Türkiye</v>
      </c>
      <c r="G966" s="5" t="str">
        <f>IFERROR(__xludf.DUMMYFUNCTION("""COMPUTED_VALUE"""),"Wheat")</f>
        <v>Wheat</v>
      </c>
      <c r="H966" s="6">
        <f>IFERROR(__xludf.DUMMYFUNCTION("""COMPUTED_VALUE"""),4030.0)</f>
        <v>4030</v>
      </c>
      <c r="I966" s="7">
        <f>IFERROR(__xludf.DUMMYFUNCTION("""COMPUTED_VALUE"""),44822.0)</f>
        <v>44822</v>
      </c>
      <c r="J966" s="7">
        <f>IFERROR(__xludf.DUMMYFUNCTION("""COMPUTED_VALUE"""),44836.0)</f>
        <v>44836</v>
      </c>
      <c r="K966" s="5" t="str">
        <f>IFERROR(__xludf.DUMMYFUNCTION("""COMPUTED_VALUE"""),"upper-middle-income")</f>
        <v>upper-middle-income</v>
      </c>
      <c r="L966" s="5" t="str">
        <f>IFERROR(__xludf.DUMMYFUNCTION("""COMPUTED_VALUE"""),"Togo")</f>
        <v>Togo</v>
      </c>
      <c r="M966" s="5" t="str">
        <f>IFERROR(__xludf.DUMMYFUNCTION("""COMPUTED_VALUE"""),"Europe &amp; Central Asia")</f>
        <v>Europe &amp; Central Asia</v>
      </c>
      <c r="N966" s="5" t="str">
        <f>IFERROR(__xludf.DUMMYFUNCTION("""COMPUTED_VALUE"""),"Asia-Pacific")</f>
        <v>Asia-Pacific</v>
      </c>
      <c r="O966" s="5" t="str">
        <f>IFERROR(__xludf.DUMMYFUNCTION("""COMPUTED_VALUE"""),"developing")</f>
        <v>developing</v>
      </c>
      <c r="P966" s="5"/>
      <c r="Q966" s="5"/>
    </row>
    <row r="967">
      <c r="A967" s="5" t="str">
        <f>IFERROR(__xludf.DUMMYFUNCTION("""COMPUTED_VALUE"""),"Outbound")</f>
        <v>Outbound</v>
      </c>
      <c r="B967" s="5">
        <f>IFERROR(__xludf.DUMMYFUNCTION("""COMPUTED_VALUE"""),157.0)</f>
        <v>157</v>
      </c>
      <c r="C967" s="5" t="str">
        <f>IFERROR(__xludf.DUMMYFUNCTION("""COMPUTED_VALUE"""),"BELLA JUDI")</f>
        <v>BELLA JUDI</v>
      </c>
      <c r="D967" s="5">
        <f>IFERROR(__xludf.DUMMYFUNCTION("""COMPUTED_VALUE"""),9595371.0)</f>
        <v>9595371</v>
      </c>
      <c r="E967" s="5" t="str">
        <f>IFERROR(__xludf.DUMMYFUNCTION("""COMPUTED_VALUE"""),"Chornomorsk")</f>
        <v>Chornomorsk</v>
      </c>
      <c r="F967" s="5" t="str">
        <f>IFERROR(__xludf.DUMMYFUNCTION("""COMPUTED_VALUE"""),"Romania")</f>
        <v>Romania</v>
      </c>
      <c r="G967" s="5" t="str">
        <f>IFERROR(__xludf.DUMMYFUNCTION("""COMPUTED_VALUE"""),"Corn")</f>
        <v>Corn</v>
      </c>
      <c r="H967" s="6">
        <f>IFERROR(__xludf.DUMMYFUNCTION("""COMPUTED_VALUE"""),32900.0)</f>
        <v>32900</v>
      </c>
      <c r="I967" s="7">
        <f>IFERROR(__xludf.DUMMYFUNCTION("""COMPUTED_VALUE"""),44822.0)</f>
        <v>44822</v>
      </c>
      <c r="J967" s="7">
        <f>IFERROR(__xludf.DUMMYFUNCTION("""COMPUTED_VALUE"""),44829.0)</f>
        <v>44829</v>
      </c>
      <c r="K967" s="5" t="str">
        <f>IFERROR(__xludf.DUMMYFUNCTION("""COMPUTED_VALUE"""),"high-income")</f>
        <v>high-income</v>
      </c>
      <c r="L967" s="5" t="str">
        <f>IFERROR(__xludf.DUMMYFUNCTION("""COMPUTED_VALUE"""),"St. Vincent and the Grenadines")</f>
        <v>St. Vincent and the Grenadines</v>
      </c>
      <c r="M967" s="5" t="str">
        <f>IFERROR(__xludf.DUMMYFUNCTION("""COMPUTED_VALUE"""),"Europe &amp; Central Asia")</f>
        <v>Europe &amp; Central Asia</v>
      </c>
      <c r="N967" s="5" t="str">
        <f>IFERROR(__xludf.DUMMYFUNCTION("""COMPUTED_VALUE"""),"Eastern Europe")</f>
        <v>Eastern Europe</v>
      </c>
      <c r="O967" s="5" t="str">
        <f>IFERROR(__xludf.DUMMYFUNCTION("""COMPUTED_VALUE"""),"developed")</f>
        <v>developed</v>
      </c>
      <c r="P967" s="5"/>
      <c r="Q967" s="5"/>
    </row>
    <row r="968">
      <c r="A968" s="5" t="str">
        <f>IFERROR(__xludf.DUMMYFUNCTION("""COMPUTED_VALUE"""),"Outbound")</f>
        <v>Outbound</v>
      </c>
      <c r="B968" s="5">
        <f>IFERROR(__xludf.DUMMYFUNCTION("""COMPUTED_VALUE"""),156.0)</f>
        <v>156</v>
      </c>
      <c r="C968" s="5" t="str">
        <f>IFERROR(__xludf.DUMMYFUNCTION("""COMPUTED_VALUE"""),"ADELHEID BR")</f>
        <v>ADELHEID BR</v>
      </c>
      <c r="D968" s="5">
        <f>IFERROR(__xludf.DUMMYFUNCTION("""COMPUTED_VALUE"""),9387621.0)</f>
        <v>9387621</v>
      </c>
      <c r="E968" s="5" t="str">
        <f>IFERROR(__xludf.DUMMYFUNCTION("""COMPUTED_VALUE"""),"Odesa")</f>
        <v>Odesa</v>
      </c>
      <c r="F968" s="5" t="str">
        <f>IFERROR(__xludf.DUMMYFUNCTION("""COMPUTED_VALUE"""),"Türkiye")</f>
        <v>Türkiye</v>
      </c>
      <c r="G968" s="5" t="str">
        <f>IFERROR(__xludf.DUMMYFUNCTION("""COMPUTED_VALUE"""),"Barley")</f>
        <v>Barley</v>
      </c>
      <c r="H968" s="6">
        <f>IFERROR(__xludf.DUMMYFUNCTION("""COMPUTED_VALUE"""),8750.0)</f>
        <v>8750</v>
      </c>
      <c r="I968" s="7">
        <f>IFERROR(__xludf.DUMMYFUNCTION("""COMPUTED_VALUE"""),44822.0)</f>
        <v>44822</v>
      </c>
      <c r="J968" s="7">
        <f>IFERROR(__xludf.DUMMYFUNCTION("""COMPUTED_VALUE"""),44831.0)</f>
        <v>44831</v>
      </c>
      <c r="K968" s="5" t="str">
        <f>IFERROR(__xludf.DUMMYFUNCTION("""COMPUTED_VALUE"""),"upper-middle-income")</f>
        <v>upper-middle-income</v>
      </c>
      <c r="L968" s="5" t="str">
        <f>IFERROR(__xludf.DUMMYFUNCTION("""COMPUTED_VALUE"""),"Barbados")</f>
        <v>Barbados</v>
      </c>
      <c r="M968" s="5" t="str">
        <f>IFERROR(__xludf.DUMMYFUNCTION("""COMPUTED_VALUE"""),"Europe &amp; Central Asia")</f>
        <v>Europe &amp; Central Asia</v>
      </c>
      <c r="N968" s="5" t="str">
        <f>IFERROR(__xludf.DUMMYFUNCTION("""COMPUTED_VALUE"""),"Asia-Pacific")</f>
        <v>Asia-Pacific</v>
      </c>
      <c r="O968" s="5" t="str">
        <f>IFERROR(__xludf.DUMMYFUNCTION("""COMPUTED_VALUE"""),"developing")</f>
        <v>developing</v>
      </c>
      <c r="P968" s="5"/>
      <c r="Q968" s="5"/>
    </row>
    <row r="969">
      <c r="A969" s="5" t="str">
        <f>IFERROR(__xludf.DUMMYFUNCTION("""COMPUTED_VALUE"""),"Outbound")</f>
        <v>Outbound</v>
      </c>
      <c r="B969" s="5">
        <f>IFERROR(__xludf.DUMMYFUNCTION("""COMPUTED_VALUE"""),155.0)</f>
        <v>155</v>
      </c>
      <c r="C969" s="5" t="str">
        <f>IFERROR(__xludf.DUMMYFUNCTION("""COMPUTED_VALUE"""),"VELVET ROSE")</f>
        <v>VELVET ROSE</v>
      </c>
      <c r="D969" s="5">
        <f>IFERROR(__xludf.DUMMYFUNCTION("""COMPUTED_VALUE"""),9281968.0)</f>
        <v>9281968</v>
      </c>
      <c r="E969" s="5" t="str">
        <f>IFERROR(__xludf.DUMMYFUNCTION("""COMPUTED_VALUE"""),"Chornomorsk")</f>
        <v>Chornomorsk</v>
      </c>
      <c r="F969" s="5" t="str">
        <f>IFERROR(__xludf.DUMMYFUNCTION("""COMPUTED_VALUE"""),"China")</f>
        <v>China</v>
      </c>
      <c r="G969" s="5" t="str">
        <f>IFERROR(__xludf.DUMMYFUNCTION("""COMPUTED_VALUE"""),"Sunflower meal")</f>
        <v>Sunflower meal</v>
      </c>
      <c r="H969" s="6">
        <f>IFERROR(__xludf.DUMMYFUNCTION("""COMPUTED_VALUE"""),29350.0)</f>
        <v>29350</v>
      </c>
      <c r="I969" s="7">
        <f>IFERROR(__xludf.DUMMYFUNCTION("""COMPUTED_VALUE"""),44821.0)</f>
        <v>44821</v>
      </c>
      <c r="J969" s="7">
        <f>IFERROR(__xludf.DUMMYFUNCTION("""COMPUTED_VALUE"""),44830.0)</f>
        <v>44830</v>
      </c>
      <c r="K969" s="5" t="str">
        <f>IFERROR(__xludf.DUMMYFUNCTION("""COMPUTED_VALUE"""),"upper-middle-income")</f>
        <v>upper-middle-income</v>
      </c>
      <c r="L969" s="5" t="str">
        <f>IFERROR(__xludf.DUMMYFUNCTION("""COMPUTED_VALUE"""),"Panama")</f>
        <v>Panama</v>
      </c>
      <c r="M969" s="5" t="str">
        <f>IFERROR(__xludf.DUMMYFUNCTION("""COMPUTED_VALUE"""),"East Asia &amp; Pacific")</f>
        <v>East Asia &amp; Pacific</v>
      </c>
      <c r="N969" s="5" t="str">
        <f>IFERROR(__xludf.DUMMYFUNCTION("""COMPUTED_VALUE"""),"Asia-Pacific")</f>
        <v>Asia-Pacific</v>
      </c>
      <c r="O969" s="5" t="str">
        <f>IFERROR(__xludf.DUMMYFUNCTION("""COMPUTED_VALUE"""),"developing")</f>
        <v>developing</v>
      </c>
      <c r="P969" s="5"/>
      <c r="Q969" s="5"/>
    </row>
    <row r="970">
      <c r="A970" s="5" t="str">
        <f>IFERROR(__xludf.DUMMYFUNCTION("""COMPUTED_VALUE"""),"Outbound")</f>
        <v>Outbound</v>
      </c>
      <c r="B970" s="5">
        <f>IFERROR(__xludf.DUMMYFUNCTION("""COMPUTED_VALUE"""),154.0)</f>
        <v>154</v>
      </c>
      <c r="C970" s="5" t="str">
        <f>IFERROR(__xludf.DUMMYFUNCTION("""COMPUTED_VALUE"""),"PACIFIC ROSE")</f>
        <v>PACIFIC ROSE</v>
      </c>
      <c r="D970" s="5">
        <f>IFERROR(__xludf.DUMMYFUNCTION("""COMPUTED_VALUE"""),9299460.0)</f>
        <v>9299460</v>
      </c>
      <c r="E970" s="5" t="str">
        <f>IFERROR(__xludf.DUMMYFUNCTION("""COMPUTED_VALUE"""),"Yuzhny/Pivdennyi")</f>
        <v>Yuzhny/Pivdennyi</v>
      </c>
      <c r="F970" s="5" t="str">
        <f>IFERROR(__xludf.DUMMYFUNCTION("""COMPUTED_VALUE"""),"Italy")</f>
        <v>Italy</v>
      </c>
      <c r="G970" s="5" t="str">
        <f>IFERROR(__xludf.DUMMYFUNCTION("""COMPUTED_VALUE"""),"Soya beans")</f>
        <v>Soya beans</v>
      </c>
      <c r="H970" s="6">
        <f>IFERROR(__xludf.DUMMYFUNCTION("""COMPUTED_VALUE"""),20000.0)</f>
        <v>20000</v>
      </c>
      <c r="I970" s="7">
        <f>IFERROR(__xludf.DUMMYFUNCTION("""COMPUTED_VALUE"""),44821.0)</f>
        <v>44821</v>
      </c>
      <c r="J970" s="7">
        <f>IFERROR(__xludf.DUMMYFUNCTION("""COMPUTED_VALUE"""),44832.0)</f>
        <v>44832</v>
      </c>
      <c r="K970" s="5" t="str">
        <f>IFERROR(__xludf.DUMMYFUNCTION("""COMPUTED_VALUE"""),"high-income")</f>
        <v>high-income</v>
      </c>
      <c r="L970" s="5" t="str">
        <f>IFERROR(__xludf.DUMMYFUNCTION("""COMPUTED_VALUE"""),"Barbados")</f>
        <v>Barbados</v>
      </c>
      <c r="M970" s="5" t="str">
        <f>IFERROR(__xludf.DUMMYFUNCTION("""COMPUTED_VALUE"""),"Europe &amp; Central Asia")</f>
        <v>Europe &amp; Central Asia</v>
      </c>
      <c r="N970" s="5" t="str">
        <f>IFERROR(__xludf.DUMMYFUNCTION("""COMPUTED_VALUE"""),"Western Europe and Others")</f>
        <v>Western Europe and Others</v>
      </c>
      <c r="O970" s="5" t="str">
        <f>IFERROR(__xludf.DUMMYFUNCTION("""COMPUTED_VALUE"""),"developed")</f>
        <v>developed</v>
      </c>
      <c r="P970" s="5"/>
      <c r="Q970" s="5"/>
    </row>
    <row r="971">
      <c r="A971" s="5" t="str">
        <f>IFERROR(__xludf.DUMMYFUNCTION("""COMPUTED_VALUE"""),"Outbound +")</f>
        <v>Outbound +</v>
      </c>
      <c r="B971" s="5">
        <f>IFERROR(__xludf.DUMMYFUNCTION("""COMPUTED_VALUE"""),154.0)</f>
        <v>154</v>
      </c>
      <c r="C971" s="5" t="str">
        <f>IFERROR(__xludf.DUMMYFUNCTION("""COMPUTED_VALUE"""),"PACIFIC ROSE")</f>
        <v>PACIFIC ROSE</v>
      </c>
      <c r="D971" s="5">
        <f>IFERROR(__xludf.DUMMYFUNCTION("""COMPUTED_VALUE"""),9299460.0)</f>
        <v>9299460</v>
      </c>
      <c r="E971" s="5" t="str">
        <f>IFERROR(__xludf.DUMMYFUNCTION("""COMPUTED_VALUE"""),"Yuzhny/Pivdennyi")</f>
        <v>Yuzhny/Pivdennyi</v>
      </c>
      <c r="F971" s="5" t="str">
        <f>IFERROR(__xludf.DUMMYFUNCTION("""COMPUTED_VALUE"""),"Italy")</f>
        <v>Italy</v>
      </c>
      <c r="G971" s="5" t="str">
        <f>IFERROR(__xludf.DUMMYFUNCTION("""COMPUTED_VALUE"""),"Corn")</f>
        <v>Corn</v>
      </c>
      <c r="H971" s="6">
        <f>IFERROR(__xludf.DUMMYFUNCTION("""COMPUTED_VALUE"""),5105.0)</f>
        <v>5105</v>
      </c>
      <c r="I971" s="7">
        <f>IFERROR(__xludf.DUMMYFUNCTION("""COMPUTED_VALUE"""),44821.0)</f>
        <v>44821</v>
      </c>
      <c r="J971" s="7">
        <f>IFERROR(__xludf.DUMMYFUNCTION("""COMPUTED_VALUE"""),44832.0)</f>
        <v>44832</v>
      </c>
      <c r="K971" s="5" t="str">
        <f>IFERROR(__xludf.DUMMYFUNCTION("""COMPUTED_VALUE"""),"high-income")</f>
        <v>high-income</v>
      </c>
      <c r="L971" s="5" t="str">
        <f>IFERROR(__xludf.DUMMYFUNCTION("""COMPUTED_VALUE"""),"Barbados")</f>
        <v>Barbados</v>
      </c>
      <c r="M971" s="5" t="str">
        <f>IFERROR(__xludf.DUMMYFUNCTION("""COMPUTED_VALUE"""),"Europe &amp; Central Asia")</f>
        <v>Europe &amp; Central Asia</v>
      </c>
      <c r="N971" s="5" t="str">
        <f>IFERROR(__xludf.DUMMYFUNCTION("""COMPUTED_VALUE"""),"Western Europe and Others")</f>
        <v>Western Europe and Others</v>
      </c>
      <c r="O971" s="5" t="str">
        <f>IFERROR(__xludf.DUMMYFUNCTION("""COMPUTED_VALUE"""),"developed")</f>
        <v>developed</v>
      </c>
      <c r="P971" s="5"/>
      <c r="Q971" s="5"/>
    </row>
    <row r="972">
      <c r="A972" s="5" t="str">
        <f>IFERROR(__xludf.DUMMYFUNCTION("""COMPUTED_VALUE"""),"Outbound")</f>
        <v>Outbound</v>
      </c>
      <c r="B972" s="5">
        <f>IFERROR(__xludf.DUMMYFUNCTION("""COMPUTED_VALUE"""),153.0)</f>
        <v>153</v>
      </c>
      <c r="C972" s="5" t="str">
        <f>IFERROR(__xludf.DUMMYFUNCTION("""COMPUTED_VALUE"""),"IKARIA ANGEL (WFP)")</f>
        <v>IKARIA ANGEL (WFP)</v>
      </c>
      <c r="D972" s="5">
        <f>IFERROR(__xludf.DUMMYFUNCTION("""COMPUTED_VALUE"""),9194397.0)</f>
        <v>9194397</v>
      </c>
      <c r="E972" s="5" t="str">
        <f>IFERROR(__xludf.DUMMYFUNCTION("""COMPUTED_VALUE"""),"Chornomorsk")</f>
        <v>Chornomorsk</v>
      </c>
      <c r="F972" s="5" t="str">
        <f>IFERROR(__xludf.DUMMYFUNCTION("""COMPUTED_VALUE"""),"Ethiopia")</f>
        <v>Ethiopia</v>
      </c>
      <c r="G972" s="5" t="str">
        <f>IFERROR(__xludf.DUMMYFUNCTION("""COMPUTED_VALUE"""),"Wheat")</f>
        <v>Wheat</v>
      </c>
      <c r="H972" s="6">
        <f>IFERROR(__xludf.DUMMYFUNCTION("""COMPUTED_VALUE"""),29459.0)</f>
        <v>29459</v>
      </c>
      <c r="I972" s="7">
        <f>IFERROR(__xludf.DUMMYFUNCTION("""COMPUTED_VALUE"""),44821.0)</f>
        <v>44821</v>
      </c>
      <c r="J972" s="7">
        <f>IFERROR(__xludf.DUMMYFUNCTION("""COMPUTED_VALUE"""),44825.0)</f>
        <v>44825</v>
      </c>
      <c r="K972" s="5" t="str">
        <f>IFERROR(__xludf.DUMMYFUNCTION("""COMPUTED_VALUE"""),"low-income")</f>
        <v>low-income</v>
      </c>
      <c r="L972" s="5" t="str">
        <f>IFERROR(__xludf.DUMMYFUNCTION("""COMPUTED_VALUE"""),"Panama")</f>
        <v>Panama</v>
      </c>
      <c r="M972" s="5" t="str">
        <f>IFERROR(__xludf.DUMMYFUNCTION("""COMPUTED_VALUE"""),"Sub-Saharan Africa")</f>
        <v>Sub-Saharan Africa</v>
      </c>
      <c r="N972" s="5" t="str">
        <f>IFERROR(__xludf.DUMMYFUNCTION("""COMPUTED_VALUE"""),"Africa")</f>
        <v>Africa</v>
      </c>
      <c r="O972" s="5" t="str">
        <f>IFERROR(__xludf.DUMMYFUNCTION("""COMPUTED_VALUE"""),"developing")</f>
        <v>developing</v>
      </c>
      <c r="P972" s="5" t="str">
        <f>IFERROR(__xludf.DUMMYFUNCTION("""COMPUTED_VALUE"""),"WFP")</f>
        <v>WFP</v>
      </c>
      <c r="Q972" s="5"/>
    </row>
    <row r="973">
      <c r="A973" s="5" t="str">
        <f>IFERROR(__xludf.DUMMYFUNCTION("""COMPUTED_VALUE"""),"Outbound +")</f>
        <v>Outbound +</v>
      </c>
      <c r="B973" s="5">
        <f>IFERROR(__xludf.DUMMYFUNCTION("""COMPUTED_VALUE"""),153.0)</f>
        <v>153</v>
      </c>
      <c r="C973" s="5" t="str">
        <f>IFERROR(__xludf.DUMMYFUNCTION("""COMPUTED_VALUE"""),"IKARIA ANGEL (WFP)")</f>
        <v>IKARIA ANGEL (WFP)</v>
      </c>
      <c r="D973" s="5">
        <f>IFERROR(__xludf.DUMMYFUNCTION("""COMPUTED_VALUE"""),9194397.0)</f>
        <v>9194397</v>
      </c>
      <c r="E973" s="5" t="str">
        <f>IFERROR(__xludf.DUMMYFUNCTION("""COMPUTED_VALUE"""),"Chornomorsk")</f>
        <v>Chornomorsk</v>
      </c>
      <c r="F973" s="5" t="str">
        <f>IFERROR(__xludf.DUMMYFUNCTION("""COMPUTED_VALUE"""),"Djibouti")</f>
        <v>Djibouti</v>
      </c>
      <c r="G973" s="5" t="str">
        <f>IFERROR(__xludf.DUMMYFUNCTION("""COMPUTED_VALUE"""),"Wheat")</f>
        <v>Wheat</v>
      </c>
      <c r="H973" s="6">
        <f>IFERROR(__xludf.DUMMYFUNCTION("""COMPUTED_VALUE"""),541.0)</f>
        <v>541</v>
      </c>
      <c r="I973" s="7">
        <f>IFERROR(__xludf.DUMMYFUNCTION("""COMPUTED_VALUE"""),44821.0)</f>
        <v>44821</v>
      </c>
      <c r="J973" s="7">
        <f>IFERROR(__xludf.DUMMYFUNCTION("""COMPUTED_VALUE"""),44825.0)</f>
        <v>44825</v>
      </c>
      <c r="K973" s="5" t="str">
        <f>IFERROR(__xludf.DUMMYFUNCTION("""COMPUTED_VALUE"""),"lower-middle income")</f>
        <v>lower-middle income</v>
      </c>
      <c r="L973" s="5" t="str">
        <f>IFERROR(__xludf.DUMMYFUNCTION("""COMPUTED_VALUE"""),"Panama")</f>
        <v>Panama</v>
      </c>
      <c r="M973" s="5" t="str">
        <f>IFERROR(__xludf.DUMMYFUNCTION("""COMPUTED_VALUE"""),"Middle East &amp; North Africa")</f>
        <v>Middle East &amp; North Africa</v>
      </c>
      <c r="N973" s="5" t="str">
        <f>IFERROR(__xludf.DUMMYFUNCTION("""COMPUTED_VALUE"""),"Africa")</f>
        <v>Africa</v>
      </c>
      <c r="O973" s="5" t="str">
        <f>IFERROR(__xludf.DUMMYFUNCTION("""COMPUTED_VALUE"""),"developing")</f>
        <v>developing</v>
      </c>
      <c r="P973" s="5" t="str">
        <f>IFERROR(__xludf.DUMMYFUNCTION("""COMPUTED_VALUE"""),"WFP")</f>
        <v>WFP</v>
      </c>
      <c r="Q973" s="5"/>
    </row>
    <row r="974">
      <c r="A974" s="5" t="str">
        <f>IFERROR(__xludf.DUMMYFUNCTION("""COMPUTED_VALUE"""),"Outbound")</f>
        <v>Outbound</v>
      </c>
      <c r="B974" s="5">
        <f>IFERROR(__xludf.DUMMYFUNCTION("""COMPUTED_VALUE"""),152.0)</f>
        <v>152</v>
      </c>
      <c r="C974" s="5" t="str">
        <f>IFERROR(__xludf.DUMMYFUNCTION("""COMPUTED_VALUE"""),"HORUS")</f>
        <v>HORUS</v>
      </c>
      <c r="D974" s="5">
        <f>IFERROR(__xludf.DUMMYFUNCTION("""COMPUTED_VALUE"""),9635690.0)</f>
        <v>9635690</v>
      </c>
      <c r="E974" s="5" t="str">
        <f>IFERROR(__xludf.DUMMYFUNCTION("""COMPUTED_VALUE"""),"Chornomorsk")</f>
        <v>Chornomorsk</v>
      </c>
      <c r="F974" s="5" t="str">
        <f>IFERROR(__xludf.DUMMYFUNCTION("""COMPUTED_VALUE"""),"China")</f>
        <v>China</v>
      </c>
      <c r="G974" s="5" t="str">
        <f>IFERROR(__xludf.DUMMYFUNCTION("""COMPUTED_VALUE"""),"Sunflower meal")</f>
        <v>Sunflower meal</v>
      </c>
      <c r="H974" s="6">
        <f>IFERROR(__xludf.DUMMYFUNCTION("""COMPUTED_VALUE"""),53012.0)</f>
        <v>53012</v>
      </c>
      <c r="I974" s="7">
        <f>IFERROR(__xludf.DUMMYFUNCTION("""COMPUTED_VALUE"""),44821.0)</f>
        <v>44821</v>
      </c>
      <c r="J974" s="7">
        <f>IFERROR(__xludf.DUMMYFUNCTION("""COMPUTED_VALUE"""),44833.0)</f>
        <v>44833</v>
      </c>
      <c r="K974" s="5" t="str">
        <f>IFERROR(__xludf.DUMMYFUNCTION("""COMPUTED_VALUE"""),"upper-middle-income")</f>
        <v>upper-middle-income</v>
      </c>
      <c r="L974" s="5" t="str">
        <f>IFERROR(__xludf.DUMMYFUNCTION("""COMPUTED_VALUE"""),"Marshall Islands")</f>
        <v>Marshall Islands</v>
      </c>
      <c r="M974" s="5" t="str">
        <f>IFERROR(__xludf.DUMMYFUNCTION("""COMPUTED_VALUE"""),"East Asia &amp; Pacific")</f>
        <v>East Asia &amp; Pacific</v>
      </c>
      <c r="N974" s="5" t="str">
        <f>IFERROR(__xludf.DUMMYFUNCTION("""COMPUTED_VALUE"""),"Asia-Pacific")</f>
        <v>Asia-Pacific</v>
      </c>
      <c r="O974" s="5" t="str">
        <f>IFERROR(__xludf.DUMMYFUNCTION("""COMPUTED_VALUE"""),"developing")</f>
        <v>developing</v>
      </c>
      <c r="P974" s="5"/>
      <c r="Q974" s="5"/>
    </row>
    <row r="975">
      <c r="A975" s="5" t="str">
        <f>IFERROR(__xludf.DUMMYFUNCTION("""COMPUTED_VALUE"""),"Outbound +")</f>
        <v>Outbound +</v>
      </c>
      <c r="B975" s="5">
        <f>IFERROR(__xludf.DUMMYFUNCTION("""COMPUTED_VALUE"""),152.0)</f>
        <v>152</v>
      </c>
      <c r="C975" s="5" t="str">
        <f>IFERROR(__xludf.DUMMYFUNCTION("""COMPUTED_VALUE"""),"HORUS")</f>
        <v>HORUS</v>
      </c>
      <c r="D975" s="5">
        <f>IFERROR(__xludf.DUMMYFUNCTION("""COMPUTED_VALUE"""),9635690.0)</f>
        <v>9635690</v>
      </c>
      <c r="E975" s="5" t="str">
        <f>IFERROR(__xludf.DUMMYFUNCTION("""COMPUTED_VALUE"""),"Chornomorsk")</f>
        <v>Chornomorsk</v>
      </c>
      <c r="F975" s="5" t="str">
        <f>IFERROR(__xludf.DUMMYFUNCTION("""COMPUTED_VALUE"""),"China")</f>
        <v>China</v>
      </c>
      <c r="G975" s="5" t="str">
        <f>IFERROR(__xludf.DUMMYFUNCTION("""COMPUTED_VALUE"""),"Barley")</f>
        <v>Barley</v>
      </c>
      <c r="H975" s="6">
        <f>IFERROR(__xludf.DUMMYFUNCTION("""COMPUTED_VALUE"""),9694.0)</f>
        <v>9694</v>
      </c>
      <c r="I975" s="7">
        <f>IFERROR(__xludf.DUMMYFUNCTION("""COMPUTED_VALUE"""),44821.0)</f>
        <v>44821</v>
      </c>
      <c r="J975" s="7">
        <f>IFERROR(__xludf.DUMMYFUNCTION("""COMPUTED_VALUE"""),44833.0)</f>
        <v>44833</v>
      </c>
      <c r="K975" s="5" t="str">
        <f>IFERROR(__xludf.DUMMYFUNCTION("""COMPUTED_VALUE"""),"upper-middle-income")</f>
        <v>upper-middle-income</v>
      </c>
      <c r="L975" s="5" t="str">
        <f>IFERROR(__xludf.DUMMYFUNCTION("""COMPUTED_VALUE"""),"Marshall Islands")</f>
        <v>Marshall Islands</v>
      </c>
      <c r="M975" s="5" t="str">
        <f>IFERROR(__xludf.DUMMYFUNCTION("""COMPUTED_VALUE"""),"East Asia &amp; Pacific")</f>
        <v>East Asia &amp; Pacific</v>
      </c>
      <c r="N975" s="5" t="str">
        <f>IFERROR(__xludf.DUMMYFUNCTION("""COMPUTED_VALUE"""),"Asia-Pacific")</f>
        <v>Asia-Pacific</v>
      </c>
      <c r="O975" s="5" t="str">
        <f>IFERROR(__xludf.DUMMYFUNCTION("""COMPUTED_VALUE"""),"developing")</f>
        <v>developing</v>
      </c>
      <c r="P975" s="5"/>
      <c r="Q975" s="5"/>
    </row>
    <row r="976">
      <c r="A976" s="5" t="str">
        <f>IFERROR(__xludf.DUMMYFUNCTION("""COMPUTED_VALUE"""),"Outbound")</f>
        <v>Outbound</v>
      </c>
      <c r="B976" s="5">
        <f>IFERROR(__xludf.DUMMYFUNCTION("""COMPUTED_VALUE"""),151.0)</f>
        <v>151</v>
      </c>
      <c r="C976" s="5" t="str">
        <f>IFERROR(__xludf.DUMMYFUNCTION("""COMPUTED_VALUE"""),"GOZO")</f>
        <v>GOZO</v>
      </c>
      <c r="D976" s="5">
        <f>IFERROR(__xludf.DUMMYFUNCTION("""COMPUTED_VALUE"""),9109964.0)</f>
        <v>9109964</v>
      </c>
      <c r="E976" s="5" t="str">
        <f>IFERROR(__xludf.DUMMYFUNCTION("""COMPUTED_VALUE"""),"Odesa")</f>
        <v>Odesa</v>
      </c>
      <c r="F976" s="5" t="str">
        <f>IFERROR(__xludf.DUMMYFUNCTION("""COMPUTED_VALUE"""),"Spain")</f>
        <v>Spain</v>
      </c>
      <c r="G976" s="5" t="str">
        <f>IFERROR(__xludf.DUMMYFUNCTION("""COMPUTED_VALUE"""),"Wheat")</f>
        <v>Wheat</v>
      </c>
      <c r="H976" s="6">
        <f>IFERROR(__xludf.DUMMYFUNCTION("""COMPUTED_VALUE"""),26000.0)</f>
        <v>26000</v>
      </c>
      <c r="I976" s="7">
        <f>IFERROR(__xludf.DUMMYFUNCTION("""COMPUTED_VALUE"""),44821.0)</f>
        <v>44821</v>
      </c>
      <c r="J976" s="7">
        <f>IFERROR(__xludf.DUMMYFUNCTION("""COMPUTED_VALUE"""),44833.0)</f>
        <v>44833</v>
      </c>
      <c r="K976" s="5" t="str">
        <f>IFERROR(__xludf.DUMMYFUNCTION("""COMPUTED_VALUE"""),"high-income")</f>
        <v>high-income</v>
      </c>
      <c r="L976" s="5" t="str">
        <f>IFERROR(__xludf.DUMMYFUNCTION("""COMPUTED_VALUE"""),"Panama")</f>
        <v>Panama</v>
      </c>
      <c r="M976" s="5" t="str">
        <f>IFERROR(__xludf.DUMMYFUNCTION("""COMPUTED_VALUE"""),"Europe &amp; Central Asia")</f>
        <v>Europe &amp; Central Asia</v>
      </c>
      <c r="N976" s="5" t="str">
        <f>IFERROR(__xludf.DUMMYFUNCTION("""COMPUTED_VALUE"""),"Western Europe and Others")</f>
        <v>Western Europe and Others</v>
      </c>
      <c r="O976" s="5" t="str">
        <f>IFERROR(__xludf.DUMMYFUNCTION("""COMPUTED_VALUE"""),"developed")</f>
        <v>developed</v>
      </c>
      <c r="P976" s="5"/>
      <c r="Q976" s="5"/>
    </row>
    <row r="977">
      <c r="A977" s="5" t="str">
        <f>IFERROR(__xludf.DUMMYFUNCTION("""COMPUTED_VALUE"""),"Outbound")</f>
        <v>Outbound</v>
      </c>
      <c r="B977" s="5">
        <f>IFERROR(__xludf.DUMMYFUNCTION("""COMPUTED_VALUE"""),150.0)</f>
        <v>150</v>
      </c>
      <c r="C977" s="5" t="str">
        <f>IFERROR(__xludf.DUMMYFUNCTION("""COMPUTED_VALUE"""),"BARONESS")</f>
        <v>BARONESS</v>
      </c>
      <c r="D977" s="5">
        <f>IFERROR(__xludf.DUMMYFUNCTION("""COMPUTED_VALUE"""),9588407.0)</f>
        <v>9588407</v>
      </c>
      <c r="E977" s="5" t="str">
        <f>IFERROR(__xludf.DUMMYFUNCTION("""COMPUTED_VALUE"""),"Chornomorsk")</f>
        <v>Chornomorsk</v>
      </c>
      <c r="F977" s="5" t="str">
        <f>IFERROR(__xludf.DUMMYFUNCTION("""COMPUTED_VALUE"""),"Italy")</f>
        <v>Italy</v>
      </c>
      <c r="G977" s="5" t="str">
        <f>IFERROR(__xludf.DUMMYFUNCTION("""COMPUTED_VALUE"""),"Wheat")</f>
        <v>Wheat</v>
      </c>
      <c r="H977" s="6">
        <f>IFERROR(__xludf.DUMMYFUNCTION("""COMPUTED_VALUE"""),30900.0)</f>
        <v>30900</v>
      </c>
      <c r="I977" s="7">
        <f>IFERROR(__xludf.DUMMYFUNCTION("""COMPUTED_VALUE"""),44821.0)</f>
        <v>44821</v>
      </c>
      <c r="J977" s="7">
        <f>IFERROR(__xludf.DUMMYFUNCTION("""COMPUTED_VALUE"""),44830.0)</f>
        <v>44830</v>
      </c>
      <c r="K977" s="5" t="str">
        <f>IFERROR(__xludf.DUMMYFUNCTION("""COMPUTED_VALUE"""),"high-income")</f>
        <v>high-income</v>
      </c>
      <c r="L977" s="5" t="str">
        <f>IFERROR(__xludf.DUMMYFUNCTION("""COMPUTED_VALUE"""),"Panama")</f>
        <v>Panama</v>
      </c>
      <c r="M977" s="5" t="str">
        <f>IFERROR(__xludf.DUMMYFUNCTION("""COMPUTED_VALUE"""),"Europe &amp; Central Asia")</f>
        <v>Europe &amp; Central Asia</v>
      </c>
      <c r="N977" s="5" t="str">
        <f>IFERROR(__xludf.DUMMYFUNCTION("""COMPUTED_VALUE"""),"Western Europe and Others")</f>
        <v>Western Europe and Others</v>
      </c>
      <c r="O977" s="5" t="str">
        <f>IFERROR(__xludf.DUMMYFUNCTION("""COMPUTED_VALUE"""),"developed")</f>
        <v>developed</v>
      </c>
      <c r="P977" s="5"/>
      <c r="Q977" s="5"/>
    </row>
    <row r="978">
      <c r="A978" s="5" t="str">
        <f>IFERROR(__xludf.DUMMYFUNCTION("""COMPUTED_VALUE"""),"Outbound")</f>
        <v>Outbound</v>
      </c>
      <c r="B978" s="5">
        <f>IFERROR(__xludf.DUMMYFUNCTION("""COMPUTED_VALUE"""),149.0)</f>
        <v>149</v>
      </c>
      <c r="C978" s="5" t="str">
        <f>IFERROR(__xludf.DUMMYFUNCTION("""COMPUTED_VALUE"""),"OCTOPUS")</f>
        <v>OCTOPUS</v>
      </c>
      <c r="D978" s="5">
        <f>IFERROR(__xludf.DUMMYFUNCTION("""COMPUTED_VALUE"""),9518634.0)</f>
        <v>9518634</v>
      </c>
      <c r="E978" s="5" t="str">
        <f>IFERROR(__xludf.DUMMYFUNCTION("""COMPUTED_VALUE"""),"Yuzhny/Pivdennyi")</f>
        <v>Yuzhny/Pivdennyi</v>
      </c>
      <c r="F978" s="5" t="str">
        <f>IFERROR(__xludf.DUMMYFUNCTION("""COMPUTED_VALUE"""),"Romania")</f>
        <v>Romania</v>
      </c>
      <c r="G978" s="5" t="str">
        <f>IFERROR(__xludf.DUMMYFUNCTION("""COMPUTED_VALUE"""),"Corn")</f>
        <v>Corn</v>
      </c>
      <c r="H978" s="6">
        <f>IFERROR(__xludf.DUMMYFUNCTION("""COMPUTED_VALUE"""),6500.0)</f>
        <v>6500</v>
      </c>
      <c r="I978" s="7">
        <f>IFERROR(__xludf.DUMMYFUNCTION("""COMPUTED_VALUE"""),44820.0)</f>
        <v>44820</v>
      </c>
      <c r="J978" s="7">
        <f>IFERROR(__xludf.DUMMYFUNCTION("""COMPUTED_VALUE"""),44832.0)</f>
        <v>44832</v>
      </c>
      <c r="K978" s="5" t="str">
        <f>IFERROR(__xludf.DUMMYFUNCTION("""COMPUTED_VALUE"""),"high-income")</f>
        <v>high-income</v>
      </c>
      <c r="L978" s="5" t="str">
        <f>IFERROR(__xludf.DUMMYFUNCTION("""COMPUTED_VALUE"""),"Tanzania")</f>
        <v>Tanzania</v>
      </c>
      <c r="M978" s="5" t="str">
        <f>IFERROR(__xludf.DUMMYFUNCTION("""COMPUTED_VALUE"""),"Europe &amp; Central Asia")</f>
        <v>Europe &amp; Central Asia</v>
      </c>
      <c r="N978" s="5" t="str">
        <f>IFERROR(__xludf.DUMMYFUNCTION("""COMPUTED_VALUE"""),"Eastern Europe")</f>
        <v>Eastern Europe</v>
      </c>
      <c r="O978" s="5" t="str">
        <f>IFERROR(__xludf.DUMMYFUNCTION("""COMPUTED_VALUE"""),"developed")</f>
        <v>developed</v>
      </c>
      <c r="P978" s="5"/>
      <c r="Q978" s="5" t="str">
        <f>IFERROR(__xludf.DUMMYFUNCTION("""COMPUTED_VALUE"""),"Stranded")</f>
        <v>Stranded</v>
      </c>
    </row>
    <row r="979">
      <c r="A979" s="5" t="str">
        <f>IFERROR(__xludf.DUMMYFUNCTION("""COMPUTED_VALUE"""),"Outbound")</f>
        <v>Outbound</v>
      </c>
      <c r="B979" s="5">
        <f>IFERROR(__xludf.DUMMYFUNCTION("""COMPUTED_VALUE"""),148.0)</f>
        <v>148</v>
      </c>
      <c r="C979" s="5" t="str">
        <f>IFERROR(__xludf.DUMMYFUNCTION("""COMPUTED_VALUE"""),"NAVIN VULTURE")</f>
        <v>NAVIN VULTURE</v>
      </c>
      <c r="D979" s="5">
        <f>IFERROR(__xludf.DUMMYFUNCTION("""COMPUTED_VALUE"""),9543328.0)</f>
        <v>9543328</v>
      </c>
      <c r="E979" s="5" t="str">
        <f>IFERROR(__xludf.DUMMYFUNCTION("""COMPUTED_VALUE"""),"Yuzhny/Pivdennyi")</f>
        <v>Yuzhny/Pivdennyi</v>
      </c>
      <c r="F979" s="5" t="str">
        <f>IFERROR(__xludf.DUMMYFUNCTION("""COMPUTED_VALUE"""),"Greece")</f>
        <v>Greece</v>
      </c>
      <c r="G979" s="5" t="str">
        <f>IFERROR(__xludf.DUMMYFUNCTION("""COMPUTED_VALUE"""),"Barley")</f>
        <v>Barley</v>
      </c>
      <c r="H979" s="6">
        <f>IFERROR(__xludf.DUMMYFUNCTION("""COMPUTED_VALUE"""),2026.0)</f>
        <v>2026</v>
      </c>
      <c r="I979" s="7">
        <f>IFERROR(__xludf.DUMMYFUNCTION("""COMPUTED_VALUE"""),44820.0)</f>
        <v>44820</v>
      </c>
      <c r="J979" s="7">
        <f>IFERROR(__xludf.DUMMYFUNCTION("""COMPUTED_VALUE"""),44828.0)</f>
        <v>44828</v>
      </c>
      <c r="K979" s="5" t="str">
        <f>IFERROR(__xludf.DUMMYFUNCTION("""COMPUTED_VALUE"""),"high-income")</f>
        <v>high-income</v>
      </c>
      <c r="L979" s="5" t="str">
        <f>IFERROR(__xludf.DUMMYFUNCTION("""COMPUTED_VALUE"""),"Marshall Islands")</f>
        <v>Marshall Islands</v>
      </c>
      <c r="M979" s="5" t="str">
        <f>IFERROR(__xludf.DUMMYFUNCTION("""COMPUTED_VALUE"""),"Europe &amp; Central Asia")</f>
        <v>Europe &amp; Central Asia</v>
      </c>
      <c r="N979" s="5" t="str">
        <f>IFERROR(__xludf.DUMMYFUNCTION("""COMPUTED_VALUE"""),"Western Europe and Others")</f>
        <v>Western Europe and Others</v>
      </c>
      <c r="O979" s="5" t="str">
        <f>IFERROR(__xludf.DUMMYFUNCTION("""COMPUTED_VALUE"""),"developed")</f>
        <v>developed</v>
      </c>
      <c r="P979" s="5"/>
      <c r="Q979" s="5"/>
    </row>
    <row r="980">
      <c r="A980" s="5" t="str">
        <f>IFERROR(__xludf.DUMMYFUNCTION("""COMPUTED_VALUE"""),"Outbound +")</f>
        <v>Outbound +</v>
      </c>
      <c r="B980" s="5">
        <f>IFERROR(__xludf.DUMMYFUNCTION("""COMPUTED_VALUE"""),148.0)</f>
        <v>148</v>
      </c>
      <c r="C980" s="5" t="str">
        <f>IFERROR(__xludf.DUMMYFUNCTION("""COMPUTED_VALUE"""),"NAVIN VULTURE")</f>
        <v>NAVIN VULTURE</v>
      </c>
      <c r="D980" s="5">
        <f>IFERROR(__xludf.DUMMYFUNCTION("""COMPUTED_VALUE"""),9543328.0)</f>
        <v>9543328</v>
      </c>
      <c r="E980" s="5" t="str">
        <f>IFERROR(__xludf.DUMMYFUNCTION("""COMPUTED_VALUE"""),"Yuzhny/Pivdennyi")</f>
        <v>Yuzhny/Pivdennyi</v>
      </c>
      <c r="F980" s="5" t="str">
        <f>IFERROR(__xludf.DUMMYFUNCTION("""COMPUTED_VALUE"""),"Greece")</f>
        <v>Greece</v>
      </c>
      <c r="G980" s="5" t="str">
        <f>IFERROR(__xludf.DUMMYFUNCTION("""COMPUTED_VALUE"""),"Corn")</f>
        <v>Corn</v>
      </c>
      <c r="H980" s="6">
        <f>IFERROR(__xludf.DUMMYFUNCTION("""COMPUTED_VALUE"""),4258.0)</f>
        <v>4258</v>
      </c>
      <c r="I980" s="7">
        <f>IFERROR(__xludf.DUMMYFUNCTION("""COMPUTED_VALUE"""),44820.0)</f>
        <v>44820</v>
      </c>
      <c r="J980" s="7">
        <f>IFERROR(__xludf.DUMMYFUNCTION("""COMPUTED_VALUE"""),44828.0)</f>
        <v>44828</v>
      </c>
      <c r="K980" s="5" t="str">
        <f>IFERROR(__xludf.DUMMYFUNCTION("""COMPUTED_VALUE"""),"high-income")</f>
        <v>high-income</v>
      </c>
      <c r="L980" s="5" t="str">
        <f>IFERROR(__xludf.DUMMYFUNCTION("""COMPUTED_VALUE"""),"Marshall Islands")</f>
        <v>Marshall Islands</v>
      </c>
      <c r="M980" s="5" t="str">
        <f>IFERROR(__xludf.DUMMYFUNCTION("""COMPUTED_VALUE"""),"Europe &amp; Central Asia")</f>
        <v>Europe &amp; Central Asia</v>
      </c>
      <c r="N980" s="5" t="str">
        <f>IFERROR(__xludf.DUMMYFUNCTION("""COMPUTED_VALUE"""),"Western Europe and Others")</f>
        <v>Western Europe and Others</v>
      </c>
      <c r="O980" s="5" t="str">
        <f>IFERROR(__xludf.DUMMYFUNCTION("""COMPUTED_VALUE"""),"developed")</f>
        <v>developed</v>
      </c>
      <c r="P980" s="5"/>
      <c r="Q980" s="5"/>
    </row>
    <row r="981">
      <c r="A981" s="5" t="str">
        <f>IFERROR(__xludf.DUMMYFUNCTION("""COMPUTED_VALUE"""),"Outbound")</f>
        <v>Outbound</v>
      </c>
      <c r="B981" s="5">
        <f>IFERROR(__xludf.DUMMYFUNCTION("""COMPUTED_VALUE"""),147.0)</f>
        <v>147</v>
      </c>
      <c r="C981" s="5" t="str">
        <f>IFERROR(__xludf.DUMMYFUNCTION("""COMPUTED_VALUE"""),"CS CIHAN")</f>
        <v>CS CIHAN</v>
      </c>
      <c r="D981" s="5">
        <f>IFERROR(__xludf.DUMMYFUNCTION("""COMPUTED_VALUE"""),9045704.0)</f>
        <v>9045704</v>
      </c>
      <c r="E981" s="5" t="str">
        <f>IFERROR(__xludf.DUMMYFUNCTION("""COMPUTED_VALUE"""),"Odesa")</f>
        <v>Odesa</v>
      </c>
      <c r="F981" s="5" t="str">
        <f>IFERROR(__xludf.DUMMYFUNCTION("""COMPUTED_VALUE"""),"Egypt")</f>
        <v>Egypt</v>
      </c>
      <c r="G981" s="5" t="str">
        <f>IFERROR(__xludf.DUMMYFUNCTION("""COMPUTED_VALUE"""),"Soya beans")</f>
        <v>Soya beans</v>
      </c>
      <c r="H981" s="6">
        <f>IFERROR(__xludf.DUMMYFUNCTION("""COMPUTED_VALUE"""),6400.0)</f>
        <v>6400</v>
      </c>
      <c r="I981" s="7">
        <f>IFERROR(__xludf.DUMMYFUNCTION("""COMPUTED_VALUE"""),44820.0)</f>
        <v>44820</v>
      </c>
      <c r="J981" s="7">
        <f>IFERROR(__xludf.DUMMYFUNCTION("""COMPUTED_VALUE"""),44827.0)</f>
        <v>44827</v>
      </c>
      <c r="K981" s="5" t="str">
        <f>IFERROR(__xludf.DUMMYFUNCTION("""COMPUTED_VALUE"""),"lower-middle income")</f>
        <v>lower-middle income</v>
      </c>
      <c r="L981" s="5" t="str">
        <f>IFERROR(__xludf.DUMMYFUNCTION("""COMPUTED_VALUE"""),"Liberia")</f>
        <v>Liberia</v>
      </c>
      <c r="M981" s="5" t="str">
        <f>IFERROR(__xludf.DUMMYFUNCTION("""COMPUTED_VALUE"""),"Middle East &amp; North Africa")</f>
        <v>Middle East &amp; North Africa</v>
      </c>
      <c r="N981" s="5" t="str">
        <f>IFERROR(__xludf.DUMMYFUNCTION("""COMPUTED_VALUE"""),"Africa")</f>
        <v>Africa</v>
      </c>
      <c r="O981" s="5" t="str">
        <f>IFERROR(__xludf.DUMMYFUNCTION("""COMPUTED_VALUE"""),"developing")</f>
        <v>developing</v>
      </c>
      <c r="P981" s="5"/>
      <c r="Q981" s="5"/>
    </row>
    <row r="982">
      <c r="A982" s="5" t="str">
        <f>IFERROR(__xludf.DUMMYFUNCTION("""COMPUTED_VALUE"""),"Outbound")</f>
        <v>Outbound</v>
      </c>
      <c r="B982" s="5">
        <f>IFERROR(__xludf.DUMMYFUNCTION("""COMPUTED_VALUE"""),146.0)</f>
        <v>146</v>
      </c>
      <c r="C982" s="5" t="str">
        <f>IFERROR(__xludf.DUMMYFUNCTION("""COMPUTED_VALUE"""),"BREEZE")</f>
        <v>BREEZE</v>
      </c>
      <c r="D982" s="5">
        <f>IFERROR(__xludf.DUMMYFUNCTION("""COMPUTED_VALUE"""),9455650.0)</f>
        <v>9455650</v>
      </c>
      <c r="E982" s="5" t="str">
        <f>IFERROR(__xludf.DUMMYFUNCTION("""COMPUTED_VALUE"""),"Odesa")</f>
        <v>Odesa</v>
      </c>
      <c r="F982" s="5" t="str">
        <f>IFERROR(__xludf.DUMMYFUNCTION("""COMPUTED_VALUE"""),"Germany")</f>
        <v>Germany</v>
      </c>
      <c r="G982" s="5" t="str">
        <f>IFERROR(__xludf.DUMMYFUNCTION("""COMPUTED_VALUE"""),"Rapeseed")</f>
        <v>Rapeseed</v>
      </c>
      <c r="H982" s="6">
        <f>IFERROR(__xludf.DUMMYFUNCTION("""COMPUTED_VALUE"""),47200.0)</f>
        <v>47200</v>
      </c>
      <c r="I982" s="7">
        <f>IFERROR(__xludf.DUMMYFUNCTION("""COMPUTED_VALUE"""),44820.0)</f>
        <v>44820</v>
      </c>
      <c r="J982" s="7">
        <f>IFERROR(__xludf.DUMMYFUNCTION("""COMPUTED_VALUE"""),44828.0)</f>
        <v>44828</v>
      </c>
      <c r="K982" s="5" t="str">
        <f>IFERROR(__xludf.DUMMYFUNCTION("""COMPUTED_VALUE"""),"high-income")</f>
        <v>high-income</v>
      </c>
      <c r="L982" s="5" t="str">
        <f>IFERROR(__xludf.DUMMYFUNCTION("""COMPUTED_VALUE"""),"Liberia")</f>
        <v>Liberia</v>
      </c>
      <c r="M982" s="5" t="str">
        <f>IFERROR(__xludf.DUMMYFUNCTION("""COMPUTED_VALUE"""),"Europe &amp; Central Asia")</f>
        <v>Europe &amp; Central Asia</v>
      </c>
      <c r="N982" s="5" t="str">
        <f>IFERROR(__xludf.DUMMYFUNCTION("""COMPUTED_VALUE"""),"Western Europe and Others")</f>
        <v>Western Europe and Others</v>
      </c>
      <c r="O982" s="5" t="str">
        <f>IFERROR(__xludf.DUMMYFUNCTION("""COMPUTED_VALUE"""),"developed")</f>
        <v>developed</v>
      </c>
      <c r="P982" s="5"/>
      <c r="Q982" s="5"/>
    </row>
    <row r="983">
      <c r="A983" s="5" t="str">
        <f>IFERROR(__xludf.DUMMYFUNCTION("""COMPUTED_VALUE"""),"Outbound")</f>
        <v>Outbound</v>
      </c>
      <c r="B983" s="5">
        <f>IFERROR(__xludf.DUMMYFUNCTION("""COMPUTED_VALUE"""),145.0)</f>
        <v>145</v>
      </c>
      <c r="C983" s="5" t="str">
        <f>IFERROR(__xludf.DUMMYFUNCTION("""COMPUTED_VALUE"""),"ANNABELLA")</f>
        <v>ANNABELLA</v>
      </c>
      <c r="D983" s="5">
        <f>IFERROR(__xludf.DUMMYFUNCTION("""COMPUTED_VALUE"""),8919788.0)</f>
        <v>8919788</v>
      </c>
      <c r="E983" s="5" t="str">
        <f>IFERROR(__xludf.DUMMYFUNCTION("""COMPUTED_VALUE"""),"Chornomorsk")</f>
        <v>Chornomorsk</v>
      </c>
      <c r="F983" s="5" t="str">
        <f>IFERROR(__xludf.DUMMYFUNCTION("""COMPUTED_VALUE"""),"Romania")</f>
        <v>Romania</v>
      </c>
      <c r="G983" s="5" t="str">
        <f>IFERROR(__xludf.DUMMYFUNCTION("""COMPUTED_VALUE"""),"Rapeseed")</f>
        <v>Rapeseed</v>
      </c>
      <c r="H983" s="6">
        <f>IFERROR(__xludf.DUMMYFUNCTION("""COMPUTED_VALUE"""),8500.0)</f>
        <v>8500</v>
      </c>
      <c r="I983" s="7">
        <f>IFERROR(__xludf.DUMMYFUNCTION("""COMPUTED_VALUE"""),44820.0)</f>
        <v>44820</v>
      </c>
      <c r="J983" s="7">
        <f>IFERROR(__xludf.DUMMYFUNCTION("""COMPUTED_VALUE"""),44830.0)</f>
        <v>44830</v>
      </c>
      <c r="K983" s="5" t="str">
        <f>IFERROR(__xludf.DUMMYFUNCTION("""COMPUTED_VALUE"""),"high-income")</f>
        <v>high-income</v>
      </c>
      <c r="L983" s="5" t="str">
        <f>IFERROR(__xludf.DUMMYFUNCTION("""COMPUTED_VALUE"""),"Comoros")</f>
        <v>Comoros</v>
      </c>
      <c r="M983" s="5" t="str">
        <f>IFERROR(__xludf.DUMMYFUNCTION("""COMPUTED_VALUE"""),"Europe &amp; Central Asia")</f>
        <v>Europe &amp; Central Asia</v>
      </c>
      <c r="N983" s="5" t="str">
        <f>IFERROR(__xludf.DUMMYFUNCTION("""COMPUTED_VALUE"""),"Eastern Europe")</f>
        <v>Eastern Europe</v>
      </c>
      <c r="O983" s="5" t="str">
        <f>IFERROR(__xludf.DUMMYFUNCTION("""COMPUTED_VALUE"""),"developed")</f>
        <v>developed</v>
      </c>
      <c r="P983" s="5"/>
      <c r="Q983" s="5"/>
    </row>
    <row r="984">
      <c r="A984" s="5" t="str">
        <f>IFERROR(__xludf.DUMMYFUNCTION("""COMPUTED_VALUE"""),"Outbound")</f>
        <v>Outbound</v>
      </c>
      <c r="B984" s="5">
        <f>IFERROR(__xludf.DUMMYFUNCTION("""COMPUTED_VALUE"""),144.0)</f>
        <v>144</v>
      </c>
      <c r="C984" s="5" t="str">
        <f>IFERROR(__xludf.DUMMYFUNCTION("""COMPUTED_VALUE"""),"VALERIO")</f>
        <v>VALERIO</v>
      </c>
      <c r="D984" s="5">
        <f>IFERROR(__xludf.DUMMYFUNCTION("""COMPUTED_VALUE"""),9244037.0)</f>
        <v>9244037</v>
      </c>
      <c r="E984" s="5" t="str">
        <f>IFERROR(__xludf.DUMMYFUNCTION("""COMPUTED_VALUE"""),"Odesa")</f>
        <v>Odesa</v>
      </c>
      <c r="F984" s="5" t="str">
        <f>IFERROR(__xludf.DUMMYFUNCTION("""COMPUTED_VALUE"""),"Türkiye")</f>
        <v>Türkiye</v>
      </c>
      <c r="G984" s="5" t="str">
        <f>IFERROR(__xludf.DUMMYFUNCTION("""COMPUTED_VALUE"""),"Corn")</f>
        <v>Corn</v>
      </c>
      <c r="H984" s="6">
        <f>IFERROR(__xludf.DUMMYFUNCTION("""COMPUTED_VALUE"""),26000.0)</f>
        <v>26000</v>
      </c>
      <c r="I984" s="7">
        <f>IFERROR(__xludf.DUMMYFUNCTION("""COMPUTED_VALUE"""),44819.0)</f>
        <v>44819</v>
      </c>
      <c r="J984" s="7">
        <f>IFERROR(__xludf.DUMMYFUNCTION("""COMPUTED_VALUE"""),44826.0)</f>
        <v>44826</v>
      </c>
      <c r="K984" s="5" t="str">
        <f>IFERROR(__xludf.DUMMYFUNCTION("""COMPUTED_VALUE"""),"upper-middle-income")</f>
        <v>upper-middle-income</v>
      </c>
      <c r="L984" s="5" t="str">
        <f>IFERROR(__xludf.DUMMYFUNCTION("""COMPUTED_VALUE"""),"Barbados")</f>
        <v>Barbados</v>
      </c>
      <c r="M984" s="5" t="str">
        <f>IFERROR(__xludf.DUMMYFUNCTION("""COMPUTED_VALUE"""),"Europe &amp; Central Asia")</f>
        <v>Europe &amp; Central Asia</v>
      </c>
      <c r="N984" s="5" t="str">
        <f>IFERROR(__xludf.DUMMYFUNCTION("""COMPUTED_VALUE"""),"Asia-Pacific")</f>
        <v>Asia-Pacific</v>
      </c>
      <c r="O984" s="5" t="str">
        <f>IFERROR(__xludf.DUMMYFUNCTION("""COMPUTED_VALUE"""),"developing")</f>
        <v>developing</v>
      </c>
      <c r="P984" s="5"/>
      <c r="Q984" s="5"/>
    </row>
    <row r="985">
      <c r="A985" s="5" t="str">
        <f>IFERROR(__xludf.DUMMYFUNCTION("""COMPUTED_VALUE"""),"Outbound")</f>
        <v>Outbound</v>
      </c>
      <c r="B985" s="5">
        <f>IFERROR(__xludf.DUMMYFUNCTION("""COMPUTED_VALUE"""),143.0)</f>
        <v>143</v>
      </c>
      <c r="C985" s="5" t="str">
        <f>IFERROR(__xludf.DUMMYFUNCTION("""COMPUTED_VALUE"""),"NORAH")</f>
        <v>NORAH</v>
      </c>
      <c r="D985" s="5">
        <f>IFERROR(__xludf.DUMMYFUNCTION("""COMPUTED_VALUE"""),9460289.0)</f>
        <v>9460289</v>
      </c>
      <c r="E985" s="5" t="str">
        <f>IFERROR(__xludf.DUMMYFUNCTION("""COMPUTED_VALUE"""),"Chornomorsk")</f>
        <v>Chornomorsk</v>
      </c>
      <c r="F985" s="5" t="str">
        <f>IFERROR(__xludf.DUMMYFUNCTION("""COMPUTED_VALUE"""),"Belgium")</f>
        <v>Belgium</v>
      </c>
      <c r="G985" s="5" t="str">
        <f>IFERROR(__xludf.DUMMYFUNCTION("""COMPUTED_VALUE"""),"Rapeseed")</f>
        <v>Rapeseed</v>
      </c>
      <c r="H985" s="6">
        <f>IFERROR(__xludf.DUMMYFUNCTION("""COMPUTED_VALUE"""),30000.0)</f>
        <v>30000</v>
      </c>
      <c r="I985" s="7">
        <f>IFERROR(__xludf.DUMMYFUNCTION("""COMPUTED_VALUE"""),44819.0)</f>
        <v>44819</v>
      </c>
      <c r="J985" s="7">
        <f>IFERROR(__xludf.DUMMYFUNCTION("""COMPUTED_VALUE"""),44824.0)</f>
        <v>44824</v>
      </c>
      <c r="K985" s="5" t="str">
        <f>IFERROR(__xludf.DUMMYFUNCTION("""COMPUTED_VALUE"""),"high-income")</f>
        <v>high-income</v>
      </c>
      <c r="L985" s="5" t="str">
        <f>IFERROR(__xludf.DUMMYFUNCTION("""COMPUTED_VALUE"""),"Marshall Islands")</f>
        <v>Marshall Islands</v>
      </c>
      <c r="M985" s="5" t="str">
        <f>IFERROR(__xludf.DUMMYFUNCTION("""COMPUTED_VALUE"""),"Europe &amp; Central Asia")</f>
        <v>Europe &amp; Central Asia</v>
      </c>
      <c r="N985" s="5" t="str">
        <f>IFERROR(__xludf.DUMMYFUNCTION("""COMPUTED_VALUE"""),"Western Europe and Others")</f>
        <v>Western Europe and Others</v>
      </c>
      <c r="O985" s="5" t="str">
        <f>IFERROR(__xludf.DUMMYFUNCTION("""COMPUTED_VALUE"""),"developed")</f>
        <v>developed</v>
      </c>
      <c r="P985" s="5"/>
      <c r="Q985" s="5"/>
    </row>
    <row r="986">
      <c r="A986" s="5" t="str">
        <f>IFERROR(__xludf.DUMMYFUNCTION("""COMPUTED_VALUE"""),"Outbound")</f>
        <v>Outbound</v>
      </c>
      <c r="B986" s="5">
        <f>IFERROR(__xludf.DUMMYFUNCTION("""COMPUTED_VALUE"""),142.0)</f>
        <v>142</v>
      </c>
      <c r="C986" s="5" t="str">
        <f>IFERROR(__xludf.DUMMYFUNCTION("""COMPUTED_VALUE"""),"MAHER")</f>
        <v>MAHER</v>
      </c>
      <c r="D986" s="5">
        <f>IFERROR(__xludf.DUMMYFUNCTION("""COMPUTED_VALUE"""),8806905.0)</f>
        <v>8806905</v>
      </c>
      <c r="E986" s="5" t="str">
        <f>IFERROR(__xludf.DUMMYFUNCTION("""COMPUTED_VALUE"""),"Chornomorsk")</f>
        <v>Chornomorsk</v>
      </c>
      <c r="F986" s="5" t="str">
        <f>IFERROR(__xludf.DUMMYFUNCTION("""COMPUTED_VALUE"""),"Tunisia")</f>
        <v>Tunisia</v>
      </c>
      <c r="G986" s="5" t="str">
        <f>IFERROR(__xludf.DUMMYFUNCTION("""COMPUTED_VALUE"""),"Wheat")</f>
        <v>Wheat</v>
      </c>
      <c r="H986" s="6">
        <f>IFERROR(__xludf.DUMMYFUNCTION("""COMPUTED_VALUE"""),7800.0)</f>
        <v>7800</v>
      </c>
      <c r="I986" s="7">
        <f>IFERROR(__xludf.DUMMYFUNCTION("""COMPUTED_VALUE"""),44819.0)</f>
        <v>44819</v>
      </c>
      <c r="J986" s="7">
        <f>IFERROR(__xludf.DUMMYFUNCTION("""COMPUTED_VALUE"""),44826.0)</f>
        <v>44826</v>
      </c>
      <c r="K986" s="5" t="str">
        <f>IFERROR(__xludf.DUMMYFUNCTION("""COMPUTED_VALUE"""),"lower-middle income")</f>
        <v>lower-middle income</v>
      </c>
      <c r="L986" s="5" t="str">
        <f>IFERROR(__xludf.DUMMYFUNCTION("""COMPUTED_VALUE"""),"Tanzania")</f>
        <v>Tanzania</v>
      </c>
      <c r="M986" s="5" t="str">
        <f>IFERROR(__xludf.DUMMYFUNCTION("""COMPUTED_VALUE"""),"Middle East &amp; North Africa")</f>
        <v>Middle East &amp; North Africa</v>
      </c>
      <c r="N986" s="5" t="str">
        <f>IFERROR(__xludf.DUMMYFUNCTION("""COMPUTED_VALUE"""),"Africa")</f>
        <v>Africa</v>
      </c>
      <c r="O986" s="5" t="str">
        <f>IFERROR(__xludf.DUMMYFUNCTION("""COMPUTED_VALUE"""),"developing")</f>
        <v>developing</v>
      </c>
      <c r="P986" s="5"/>
      <c r="Q986" s="5"/>
    </row>
    <row r="987">
      <c r="A987" s="5" t="str">
        <f>IFERROR(__xludf.DUMMYFUNCTION("""COMPUTED_VALUE"""),"Outbound")</f>
        <v>Outbound</v>
      </c>
      <c r="B987" s="5">
        <f>IFERROR(__xludf.DUMMYFUNCTION("""COMPUTED_VALUE"""),141.0)</f>
        <v>141</v>
      </c>
      <c r="C987" s="5" t="str">
        <f>IFERROR(__xludf.DUMMYFUNCTION("""COMPUTED_VALUE"""),"LARA S")</f>
        <v>LARA S</v>
      </c>
      <c r="D987" s="5">
        <f>IFERROR(__xludf.DUMMYFUNCTION("""COMPUTED_VALUE"""),9334301.0)</f>
        <v>9334301</v>
      </c>
      <c r="E987" s="5" t="str">
        <f>IFERROR(__xludf.DUMMYFUNCTION("""COMPUTED_VALUE"""),"Odesa")</f>
        <v>Odesa</v>
      </c>
      <c r="F987" s="5" t="str">
        <f>IFERROR(__xludf.DUMMYFUNCTION("""COMPUTED_VALUE"""),"Italy")</f>
        <v>Italy</v>
      </c>
      <c r="G987" s="5" t="str">
        <f>IFERROR(__xludf.DUMMYFUNCTION("""COMPUTED_VALUE"""),"Sunflower oil")</f>
        <v>Sunflower oil</v>
      </c>
      <c r="H987" s="6">
        <f>IFERROR(__xludf.DUMMYFUNCTION("""COMPUTED_VALUE"""),5750.0)</f>
        <v>5750</v>
      </c>
      <c r="I987" s="7">
        <f>IFERROR(__xludf.DUMMYFUNCTION("""COMPUTED_VALUE"""),44819.0)</f>
        <v>44819</v>
      </c>
      <c r="J987" s="7">
        <f>IFERROR(__xludf.DUMMYFUNCTION("""COMPUTED_VALUE"""),44824.0)</f>
        <v>44824</v>
      </c>
      <c r="K987" s="5" t="str">
        <f>IFERROR(__xludf.DUMMYFUNCTION("""COMPUTED_VALUE"""),"high-income")</f>
        <v>high-income</v>
      </c>
      <c r="L987" s="5" t="str">
        <f>IFERROR(__xludf.DUMMYFUNCTION("""COMPUTED_VALUE"""),"Malta")</f>
        <v>Malta</v>
      </c>
      <c r="M987" s="5" t="str">
        <f>IFERROR(__xludf.DUMMYFUNCTION("""COMPUTED_VALUE"""),"Europe &amp; Central Asia")</f>
        <v>Europe &amp; Central Asia</v>
      </c>
      <c r="N987" s="5" t="str">
        <f>IFERROR(__xludf.DUMMYFUNCTION("""COMPUTED_VALUE"""),"Western Europe and Others")</f>
        <v>Western Europe and Others</v>
      </c>
      <c r="O987" s="5" t="str">
        <f>IFERROR(__xludf.DUMMYFUNCTION("""COMPUTED_VALUE"""),"developed")</f>
        <v>developed</v>
      </c>
      <c r="P987" s="5"/>
      <c r="Q987" s="5"/>
    </row>
    <row r="988">
      <c r="A988" s="5" t="str">
        <f>IFERROR(__xludf.DUMMYFUNCTION("""COMPUTED_VALUE"""),"Outbound")</f>
        <v>Outbound</v>
      </c>
      <c r="B988" s="5">
        <f>IFERROR(__xludf.DUMMYFUNCTION("""COMPUTED_VALUE"""),140.0)</f>
        <v>140</v>
      </c>
      <c r="C988" s="5" t="str">
        <f>IFERROR(__xludf.DUMMYFUNCTION("""COMPUTED_VALUE"""),"KAN 2")</f>
        <v>KAN 2</v>
      </c>
      <c r="D988" s="5">
        <f>IFERROR(__xludf.DUMMYFUNCTION("""COMPUTED_VALUE"""),9154268.0)</f>
        <v>9154268</v>
      </c>
      <c r="E988" s="5" t="str">
        <f>IFERROR(__xludf.DUMMYFUNCTION("""COMPUTED_VALUE"""),"Odesa")</f>
        <v>Odesa</v>
      </c>
      <c r="F988" s="5" t="str">
        <f>IFERROR(__xludf.DUMMYFUNCTION("""COMPUTED_VALUE"""),"Libya")</f>
        <v>Libya</v>
      </c>
      <c r="G988" s="5" t="str">
        <f>IFERROR(__xludf.DUMMYFUNCTION("""COMPUTED_VALUE"""),"Corn")</f>
        <v>Corn</v>
      </c>
      <c r="H988" s="6">
        <f>IFERROR(__xludf.DUMMYFUNCTION("""COMPUTED_VALUE"""),11000.0)</f>
        <v>11000</v>
      </c>
      <c r="I988" s="7">
        <f>IFERROR(__xludf.DUMMYFUNCTION("""COMPUTED_VALUE"""),44819.0)</f>
        <v>44819</v>
      </c>
      <c r="J988" s="7">
        <f>IFERROR(__xludf.DUMMYFUNCTION("""COMPUTED_VALUE"""),44824.0)</f>
        <v>44824</v>
      </c>
      <c r="K988" s="5" t="str">
        <f>IFERROR(__xludf.DUMMYFUNCTION("""COMPUTED_VALUE"""),"upper-middle-income")</f>
        <v>upper-middle-income</v>
      </c>
      <c r="L988" s="5" t="str">
        <f>IFERROR(__xludf.DUMMYFUNCTION("""COMPUTED_VALUE"""),"Tuvalu")</f>
        <v>Tuvalu</v>
      </c>
      <c r="M988" s="5" t="str">
        <f>IFERROR(__xludf.DUMMYFUNCTION("""COMPUTED_VALUE"""),"Middle East &amp; North Africa")</f>
        <v>Middle East &amp; North Africa</v>
      </c>
      <c r="N988" s="5" t="str">
        <f>IFERROR(__xludf.DUMMYFUNCTION("""COMPUTED_VALUE"""),"Africa")</f>
        <v>Africa</v>
      </c>
      <c r="O988" s="5" t="str">
        <f>IFERROR(__xludf.DUMMYFUNCTION("""COMPUTED_VALUE"""),"developing")</f>
        <v>developing</v>
      </c>
      <c r="P988" s="5"/>
      <c r="Q988" s="5"/>
    </row>
    <row r="989">
      <c r="A989" s="5" t="str">
        <f>IFERROR(__xludf.DUMMYFUNCTION("""COMPUTED_VALUE"""),"Outbound +")</f>
        <v>Outbound +</v>
      </c>
      <c r="B989" s="5">
        <f>IFERROR(__xludf.DUMMYFUNCTION("""COMPUTED_VALUE"""),140.0)</f>
        <v>140</v>
      </c>
      <c r="C989" s="5" t="str">
        <f>IFERROR(__xludf.DUMMYFUNCTION("""COMPUTED_VALUE"""),"KAN 2")</f>
        <v>KAN 2</v>
      </c>
      <c r="D989" s="5">
        <f>IFERROR(__xludf.DUMMYFUNCTION("""COMPUTED_VALUE"""),9154268.0)</f>
        <v>9154268</v>
      </c>
      <c r="E989" s="5" t="str">
        <f>IFERROR(__xludf.DUMMYFUNCTION("""COMPUTED_VALUE"""),"Odesa")</f>
        <v>Odesa</v>
      </c>
      <c r="F989" s="5" t="str">
        <f>IFERROR(__xludf.DUMMYFUNCTION("""COMPUTED_VALUE"""),"Libya")</f>
        <v>Libya</v>
      </c>
      <c r="G989" s="5" t="str">
        <f>IFERROR(__xludf.DUMMYFUNCTION("""COMPUTED_VALUE"""),"Barley")</f>
        <v>Barley</v>
      </c>
      <c r="H989" s="6">
        <f>IFERROR(__xludf.DUMMYFUNCTION("""COMPUTED_VALUE"""),2981.0)</f>
        <v>2981</v>
      </c>
      <c r="I989" s="7">
        <f>IFERROR(__xludf.DUMMYFUNCTION("""COMPUTED_VALUE"""),44819.0)</f>
        <v>44819</v>
      </c>
      <c r="J989" s="7">
        <f>IFERROR(__xludf.DUMMYFUNCTION("""COMPUTED_VALUE"""),44824.0)</f>
        <v>44824</v>
      </c>
      <c r="K989" s="5" t="str">
        <f>IFERROR(__xludf.DUMMYFUNCTION("""COMPUTED_VALUE"""),"upper-middle-income")</f>
        <v>upper-middle-income</v>
      </c>
      <c r="L989" s="5" t="str">
        <f>IFERROR(__xludf.DUMMYFUNCTION("""COMPUTED_VALUE"""),"Tuvalu")</f>
        <v>Tuvalu</v>
      </c>
      <c r="M989" s="5" t="str">
        <f>IFERROR(__xludf.DUMMYFUNCTION("""COMPUTED_VALUE"""),"Middle East &amp; North Africa")</f>
        <v>Middle East &amp; North Africa</v>
      </c>
      <c r="N989" s="5" t="str">
        <f>IFERROR(__xludf.DUMMYFUNCTION("""COMPUTED_VALUE"""),"Africa")</f>
        <v>Africa</v>
      </c>
      <c r="O989" s="5" t="str">
        <f>IFERROR(__xludf.DUMMYFUNCTION("""COMPUTED_VALUE"""),"developing")</f>
        <v>developing</v>
      </c>
      <c r="P989" s="5"/>
      <c r="Q989" s="5"/>
    </row>
    <row r="990">
      <c r="A990" s="5" t="str">
        <f>IFERROR(__xludf.DUMMYFUNCTION("""COMPUTED_VALUE"""),"Outbound")</f>
        <v>Outbound</v>
      </c>
      <c r="B990" s="5">
        <f>IFERROR(__xludf.DUMMYFUNCTION("""COMPUTED_VALUE"""),139.0)</f>
        <v>139</v>
      </c>
      <c r="C990" s="5" t="str">
        <f>IFERROR(__xludf.DUMMYFUNCTION("""COMPUTED_VALUE"""),"EIDER S")</f>
        <v>EIDER S</v>
      </c>
      <c r="D990" s="5">
        <f>IFERROR(__xludf.DUMMYFUNCTION("""COMPUTED_VALUE"""),9364784.0)</f>
        <v>9364784</v>
      </c>
      <c r="E990" s="5" t="str">
        <f>IFERROR(__xludf.DUMMYFUNCTION("""COMPUTED_VALUE"""),"Yuzhny/Pivdennyi")</f>
        <v>Yuzhny/Pivdennyi</v>
      </c>
      <c r="F990" s="5" t="str">
        <f>IFERROR(__xludf.DUMMYFUNCTION("""COMPUTED_VALUE"""),"Spain")</f>
        <v>Spain</v>
      </c>
      <c r="G990" s="5" t="str">
        <f>IFERROR(__xludf.DUMMYFUNCTION("""COMPUTED_VALUE"""),"Corn")</f>
        <v>Corn</v>
      </c>
      <c r="H990" s="6">
        <f>IFERROR(__xludf.DUMMYFUNCTION("""COMPUTED_VALUE"""),50855.0)</f>
        <v>50855</v>
      </c>
      <c r="I990" s="7">
        <f>IFERROR(__xludf.DUMMYFUNCTION("""COMPUTED_VALUE"""),44819.0)</f>
        <v>44819</v>
      </c>
      <c r="J990" s="7">
        <f>IFERROR(__xludf.DUMMYFUNCTION("""COMPUTED_VALUE"""),44834.0)</f>
        <v>44834</v>
      </c>
      <c r="K990" s="5" t="str">
        <f>IFERROR(__xludf.DUMMYFUNCTION("""COMPUTED_VALUE"""),"high-income")</f>
        <v>high-income</v>
      </c>
      <c r="L990" s="5" t="str">
        <f>IFERROR(__xludf.DUMMYFUNCTION("""COMPUTED_VALUE"""),"Liberia")</f>
        <v>Liberia</v>
      </c>
      <c r="M990" s="5" t="str">
        <f>IFERROR(__xludf.DUMMYFUNCTION("""COMPUTED_VALUE"""),"Europe &amp; Central Asia")</f>
        <v>Europe &amp; Central Asia</v>
      </c>
      <c r="N990" s="5" t="str">
        <f>IFERROR(__xludf.DUMMYFUNCTION("""COMPUTED_VALUE"""),"Western Europe and Others")</f>
        <v>Western Europe and Others</v>
      </c>
      <c r="O990" s="5" t="str">
        <f>IFERROR(__xludf.DUMMYFUNCTION("""COMPUTED_VALUE"""),"developed")</f>
        <v>developed</v>
      </c>
      <c r="P990" s="5"/>
      <c r="Q990" s="5"/>
    </row>
    <row r="991">
      <c r="A991" s="5" t="str">
        <f>IFERROR(__xludf.DUMMYFUNCTION("""COMPUTED_VALUE"""),"Outbound")</f>
        <v>Outbound</v>
      </c>
      <c r="B991" s="5">
        <f>IFERROR(__xludf.DUMMYFUNCTION("""COMPUTED_VALUE"""),138.0)</f>
        <v>138</v>
      </c>
      <c r="C991" s="5" t="str">
        <f>IFERROR(__xludf.DUMMYFUNCTION("""COMPUTED_VALUE"""),"DERG")</f>
        <v>DERG</v>
      </c>
      <c r="D991" s="5">
        <f>IFERROR(__xludf.DUMMYFUNCTION("""COMPUTED_VALUE"""),9393060.0)</f>
        <v>9393060</v>
      </c>
      <c r="E991" s="5" t="str">
        <f>IFERROR(__xludf.DUMMYFUNCTION("""COMPUTED_VALUE"""),"Chornomorsk")</f>
        <v>Chornomorsk</v>
      </c>
      <c r="F991" s="5" t="str">
        <f>IFERROR(__xludf.DUMMYFUNCTION("""COMPUTED_VALUE"""),"The Netherlands")</f>
        <v>The Netherlands</v>
      </c>
      <c r="G991" s="5" t="str">
        <f>IFERROR(__xludf.DUMMYFUNCTION("""COMPUTED_VALUE"""),"Sunflower oil")</f>
        <v>Sunflower oil</v>
      </c>
      <c r="H991" s="6">
        <f>IFERROR(__xludf.DUMMYFUNCTION("""COMPUTED_VALUE"""),3600.0)</f>
        <v>3600</v>
      </c>
      <c r="I991" s="7">
        <f>IFERROR(__xludf.DUMMYFUNCTION("""COMPUTED_VALUE"""),44819.0)</f>
        <v>44819</v>
      </c>
      <c r="J991" s="7">
        <f>IFERROR(__xludf.DUMMYFUNCTION("""COMPUTED_VALUE"""),44824.0)</f>
        <v>44824</v>
      </c>
      <c r="K991" s="5" t="str">
        <f>IFERROR(__xludf.DUMMYFUNCTION("""COMPUTED_VALUE"""),"high-income")</f>
        <v>high-income</v>
      </c>
      <c r="L991" s="5" t="str">
        <f>IFERROR(__xludf.DUMMYFUNCTION("""COMPUTED_VALUE"""),"Malta")</f>
        <v>Malta</v>
      </c>
      <c r="M991" s="5" t="str">
        <f>IFERROR(__xludf.DUMMYFUNCTION("""COMPUTED_VALUE"""),"Europe &amp; Central Asia")</f>
        <v>Europe &amp; Central Asia</v>
      </c>
      <c r="N991" s="5" t="str">
        <f>IFERROR(__xludf.DUMMYFUNCTION("""COMPUTED_VALUE"""),"Western Europe and Others")</f>
        <v>Western Europe and Others</v>
      </c>
      <c r="O991" s="5" t="str">
        <f>IFERROR(__xludf.DUMMYFUNCTION("""COMPUTED_VALUE"""),"developed")</f>
        <v>developed</v>
      </c>
      <c r="P991" s="5"/>
      <c r="Q991" s="5"/>
    </row>
    <row r="992">
      <c r="A992" s="5" t="str">
        <f>IFERROR(__xludf.DUMMYFUNCTION("""COMPUTED_VALUE"""),"Outbound +")</f>
        <v>Outbound +</v>
      </c>
      <c r="B992" s="5">
        <f>IFERROR(__xludf.DUMMYFUNCTION("""COMPUTED_VALUE"""),138.0)</f>
        <v>138</v>
      </c>
      <c r="C992" s="5" t="str">
        <f>IFERROR(__xludf.DUMMYFUNCTION("""COMPUTED_VALUE"""),"DERG")</f>
        <v>DERG</v>
      </c>
      <c r="D992" s="5">
        <f>IFERROR(__xludf.DUMMYFUNCTION("""COMPUTED_VALUE"""),9393060.0)</f>
        <v>9393060</v>
      </c>
      <c r="E992" s="5" t="str">
        <f>IFERROR(__xludf.DUMMYFUNCTION("""COMPUTED_VALUE"""),"Chornomorsk")</f>
        <v>Chornomorsk</v>
      </c>
      <c r="F992" s="5" t="str">
        <f>IFERROR(__xludf.DUMMYFUNCTION("""COMPUTED_VALUE"""),"United Kingdom")</f>
        <v>United Kingdom</v>
      </c>
      <c r="G992" s="5" t="str">
        <f>IFERROR(__xludf.DUMMYFUNCTION("""COMPUTED_VALUE"""),"Sunflower oil")</f>
        <v>Sunflower oil</v>
      </c>
      <c r="H992" s="6">
        <f>IFERROR(__xludf.DUMMYFUNCTION("""COMPUTED_VALUE"""),6000.0)</f>
        <v>6000</v>
      </c>
      <c r="I992" s="7">
        <f>IFERROR(__xludf.DUMMYFUNCTION("""COMPUTED_VALUE"""),44819.0)</f>
        <v>44819</v>
      </c>
      <c r="J992" s="7">
        <f>IFERROR(__xludf.DUMMYFUNCTION("""COMPUTED_VALUE"""),44824.0)</f>
        <v>44824</v>
      </c>
      <c r="K992" s="5" t="str">
        <f>IFERROR(__xludf.DUMMYFUNCTION("""COMPUTED_VALUE"""),"high-income")</f>
        <v>high-income</v>
      </c>
      <c r="L992" s="5" t="str">
        <f>IFERROR(__xludf.DUMMYFUNCTION("""COMPUTED_VALUE"""),"Malta")</f>
        <v>Malta</v>
      </c>
      <c r="M992" s="5" t="str">
        <f>IFERROR(__xludf.DUMMYFUNCTION("""COMPUTED_VALUE"""),"Europe &amp; Central Asia")</f>
        <v>Europe &amp; Central Asia</v>
      </c>
      <c r="N992" s="5" t="str">
        <f>IFERROR(__xludf.DUMMYFUNCTION("""COMPUTED_VALUE"""),"Western Europe and Others")</f>
        <v>Western Europe and Others</v>
      </c>
      <c r="O992" s="5" t="str">
        <f>IFERROR(__xludf.DUMMYFUNCTION("""COMPUTED_VALUE"""),"developed")</f>
        <v>developed</v>
      </c>
      <c r="P992" s="5"/>
      <c r="Q992" s="5"/>
    </row>
    <row r="993">
      <c r="A993" s="5" t="str">
        <f>IFERROR(__xludf.DUMMYFUNCTION("""COMPUTED_VALUE"""),"Outbound")</f>
        <v>Outbound</v>
      </c>
      <c r="B993" s="5">
        <f>IFERROR(__xludf.DUMMYFUNCTION("""COMPUTED_VALUE"""),137.0)</f>
        <v>137</v>
      </c>
      <c r="C993" s="5" t="str">
        <f>IFERROR(__xludf.DUMMYFUNCTION("""COMPUTED_VALUE"""),"ASTRA CENTAURUS")</f>
        <v>ASTRA CENTAURUS</v>
      </c>
      <c r="D993" s="5">
        <f>IFERROR(__xludf.DUMMYFUNCTION("""COMPUTED_VALUE"""),9611802.0)</f>
        <v>9611802</v>
      </c>
      <c r="E993" s="5" t="str">
        <f>IFERROR(__xludf.DUMMYFUNCTION("""COMPUTED_VALUE"""),"Chornomorsk")</f>
        <v>Chornomorsk</v>
      </c>
      <c r="F993" s="5" t="str">
        <f>IFERROR(__xludf.DUMMYFUNCTION("""COMPUTED_VALUE"""),"Spain")</f>
        <v>Spain</v>
      </c>
      <c r="G993" s="5" t="str">
        <f>IFERROR(__xludf.DUMMYFUNCTION("""COMPUTED_VALUE"""),"Wheat")</f>
        <v>Wheat</v>
      </c>
      <c r="H993" s="6">
        <f>IFERROR(__xludf.DUMMYFUNCTION("""COMPUTED_VALUE"""),55000.0)</f>
        <v>55000</v>
      </c>
      <c r="I993" s="7">
        <f>IFERROR(__xludf.DUMMYFUNCTION("""COMPUTED_VALUE"""),44819.0)</f>
        <v>44819</v>
      </c>
      <c r="J993" s="7">
        <f>IFERROR(__xludf.DUMMYFUNCTION("""COMPUTED_VALUE"""),44824.0)</f>
        <v>44824</v>
      </c>
      <c r="K993" s="5" t="str">
        <f>IFERROR(__xludf.DUMMYFUNCTION("""COMPUTED_VALUE"""),"high-income")</f>
        <v>high-income</v>
      </c>
      <c r="L993" s="5" t="str">
        <f>IFERROR(__xludf.DUMMYFUNCTION("""COMPUTED_VALUE"""),"Marshall Islands")</f>
        <v>Marshall Islands</v>
      </c>
      <c r="M993" s="5" t="str">
        <f>IFERROR(__xludf.DUMMYFUNCTION("""COMPUTED_VALUE"""),"Europe &amp; Central Asia")</f>
        <v>Europe &amp; Central Asia</v>
      </c>
      <c r="N993" s="5" t="str">
        <f>IFERROR(__xludf.DUMMYFUNCTION("""COMPUTED_VALUE"""),"Western Europe and Others")</f>
        <v>Western Europe and Others</v>
      </c>
      <c r="O993" s="5" t="str">
        <f>IFERROR(__xludf.DUMMYFUNCTION("""COMPUTED_VALUE"""),"developed")</f>
        <v>developed</v>
      </c>
      <c r="P993" s="5"/>
      <c r="Q993" s="5"/>
    </row>
    <row r="994">
      <c r="A994" s="5" t="str">
        <f>IFERROR(__xludf.DUMMYFUNCTION("""COMPUTED_VALUE"""),"Outbound")</f>
        <v>Outbound</v>
      </c>
      <c r="B994" s="5">
        <f>IFERROR(__xludf.DUMMYFUNCTION("""COMPUTED_VALUE"""),136.0)</f>
        <v>136</v>
      </c>
      <c r="C994" s="5" t="str">
        <f>IFERROR(__xludf.DUMMYFUNCTION("""COMPUTED_VALUE"""),"CENK CAR")</f>
        <v>CENK CAR</v>
      </c>
      <c r="D994" s="5">
        <f>IFERROR(__xludf.DUMMYFUNCTION("""COMPUTED_VALUE"""),8611984.0)</f>
        <v>8611984</v>
      </c>
      <c r="E994" s="5" t="str">
        <f>IFERROR(__xludf.DUMMYFUNCTION("""COMPUTED_VALUE"""),"Chornomorsk")</f>
        <v>Chornomorsk</v>
      </c>
      <c r="F994" s="5" t="str">
        <f>IFERROR(__xludf.DUMMYFUNCTION("""COMPUTED_VALUE"""),"Türkiye")</f>
        <v>Türkiye</v>
      </c>
      <c r="G994" s="5" t="str">
        <f>IFERROR(__xludf.DUMMYFUNCTION("""COMPUTED_VALUE"""),"Sunflower seed")</f>
        <v>Sunflower seed</v>
      </c>
      <c r="H994" s="6">
        <f>IFERROR(__xludf.DUMMYFUNCTION("""COMPUTED_VALUE"""),180.0)</f>
        <v>180</v>
      </c>
      <c r="I994" s="7">
        <f>IFERROR(__xludf.DUMMYFUNCTION("""COMPUTED_VALUE"""),44818.0)</f>
        <v>44818</v>
      </c>
      <c r="J994" s="7">
        <f>IFERROR(__xludf.DUMMYFUNCTION("""COMPUTED_VALUE"""),44822.0)</f>
        <v>44822</v>
      </c>
      <c r="K994" s="5" t="str">
        <f>IFERROR(__xludf.DUMMYFUNCTION("""COMPUTED_VALUE"""),"upper-middle-income")</f>
        <v>upper-middle-income</v>
      </c>
      <c r="L994" s="5" t="str">
        <f>IFERROR(__xludf.DUMMYFUNCTION("""COMPUTED_VALUE"""),"Malta")</f>
        <v>Malta</v>
      </c>
      <c r="M994" s="5" t="str">
        <f>IFERROR(__xludf.DUMMYFUNCTION("""COMPUTED_VALUE"""),"Europe &amp; Central Asia")</f>
        <v>Europe &amp; Central Asia</v>
      </c>
      <c r="N994" s="5" t="str">
        <f>IFERROR(__xludf.DUMMYFUNCTION("""COMPUTED_VALUE"""),"Asia-Pacific")</f>
        <v>Asia-Pacific</v>
      </c>
      <c r="O994" s="5" t="str">
        <f>IFERROR(__xludf.DUMMYFUNCTION("""COMPUTED_VALUE"""),"developing")</f>
        <v>developing</v>
      </c>
      <c r="P994" s="5"/>
      <c r="Q994" s="5" t="str">
        <f>IFERROR(__xludf.DUMMYFUNCTION("""COMPUTED_VALUE"""),"Stranded")</f>
        <v>Stranded</v>
      </c>
    </row>
    <row r="995">
      <c r="A995" s="5" t="str">
        <f>IFERROR(__xludf.DUMMYFUNCTION("""COMPUTED_VALUE"""),"Outbound +")</f>
        <v>Outbound +</v>
      </c>
      <c r="B995" s="5">
        <f>IFERROR(__xludf.DUMMYFUNCTION("""COMPUTED_VALUE"""),136.0)</f>
        <v>136</v>
      </c>
      <c r="C995" s="5" t="str">
        <f>IFERROR(__xludf.DUMMYFUNCTION("""COMPUTED_VALUE"""),"CENK CAR")</f>
        <v>CENK CAR</v>
      </c>
      <c r="D995" s="5">
        <f>IFERROR(__xludf.DUMMYFUNCTION("""COMPUTED_VALUE"""),8611984.0)</f>
        <v>8611984</v>
      </c>
      <c r="E995" s="5" t="str">
        <f>IFERROR(__xludf.DUMMYFUNCTION("""COMPUTED_VALUE"""),"Chornomorsk")</f>
        <v>Chornomorsk</v>
      </c>
      <c r="F995" s="5" t="str">
        <f>IFERROR(__xludf.DUMMYFUNCTION("""COMPUTED_VALUE"""),"Türkiye")</f>
        <v>Türkiye</v>
      </c>
      <c r="G995" s="5" t="str">
        <f>IFERROR(__xludf.DUMMYFUNCTION("""COMPUTED_VALUE"""),"Sunflower meal")</f>
        <v>Sunflower meal</v>
      </c>
      <c r="H995" s="6">
        <f>IFERROR(__xludf.DUMMYFUNCTION("""COMPUTED_VALUE"""),67.86)</f>
        <v>67.86</v>
      </c>
      <c r="I995" s="7">
        <f>IFERROR(__xludf.DUMMYFUNCTION("""COMPUTED_VALUE"""),44818.0)</f>
        <v>44818</v>
      </c>
      <c r="J995" s="7">
        <f>IFERROR(__xludf.DUMMYFUNCTION("""COMPUTED_VALUE"""),44822.0)</f>
        <v>44822</v>
      </c>
      <c r="K995" s="5" t="str">
        <f>IFERROR(__xludf.DUMMYFUNCTION("""COMPUTED_VALUE"""),"upper-middle-income")</f>
        <v>upper-middle-income</v>
      </c>
      <c r="L995" s="5" t="str">
        <f>IFERROR(__xludf.DUMMYFUNCTION("""COMPUTED_VALUE"""),"Malta")</f>
        <v>Malta</v>
      </c>
      <c r="M995" s="5" t="str">
        <f>IFERROR(__xludf.DUMMYFUNCTION("""COMPUTED_VALUE"""),"Europe &amp; Central Asia")</f>
        <v>Europe &amp; Central Asia</v>
      </c>
      <c r="N995" s="5" t="str">
        <f>IFERROR(__xludf.DUMMYFUNCTION("""COMPUTED_VALUE"""),"Asia-Pacific")</f>
        <v>Asia-Pacific</v>
      </c>
      <c r="O995" s="5" t="str">
        <f>IFERROR(__xludf.DUMMYFUNCTION("""COMPUTED_VALUE"""),"developing")</f>
        <v>developing</v>
      </c>
      <c r="P995" s="5"/>
      <c r="Q995" s="5" t="str">
        <f>IFERROR(__xludf.DUMMYFUNCTION("""COMPUTED_VALUE"""),"Stranded")</f>
        <v>Stranded</v>
      </c>
    </row>
    <row r="996">
      <c r="A996" s="5" t="str">
        <f>IFERROR(__xludf.DUMMYFUNCTION("""COMPUTED_VALUE"""),"Outbound")</f>
        <v>Outbound</v>
      </c>
      <c r="B996" s="5">
        <f>IFERROR(__xludf.DUMMYFUNCTION("""COMPUTED_VALUE"""),135.0)</f>
        <v>135</v>
      </c>
      <c r="C996" s="5" t="str">
        <f>IFERROR(__xludf.DUMMYFUNCTION("""COMPUTED_VALUE"""),"GLORY DINA")</f>
        <v>GLORY DINA</v>
      </c>
      <c r="D996" s="5">
        <f>IFERROR(__xludf.DUMMYFUNCTION("""COMPUTED_VALUE"""),9464522.0)</f>
        <v>9464522</v>
      </c>
      <c r="E996" s="5" t="str">
        <f>IFERROR(__xludf.DUMMYFUNCTION("""COMPUTED_VALUE"""),"Chornomorsk")</f>
        <v>Chornomorsk</v>
      </c>
      <c r="F996" s="5" t="str">
        <f>IFERROR(__xludf.DUMMYFUNCTION("""COMPUTED_VALUE"""),"Türkiye")</f>
        <v>Türkiye</v>
      </c>
      <c r="G996" s="5" t="str">
        <f>IFERROR(__xludf.DUMMYFUNCTION("""COMPUTED_VALUE"""),"Wheat")</f>
        <v>Wheat</v>
      </c>
      <c r="H996" s="6">
        <f>IFERROR(__xludf.DUMMYFUNCTION("""COMPUTED_VALUE"""),27000.0)</f>
        <v>27000</v>
      </c>
      <c r="I996" s="7">
        <f>IFERROR(__xludf.DUMMYFUNCTION("""COMPUTED_VALUE"""),44818.0)</f>
        <v>44818</v>
      </c>
      <c r="J996" s="7">
        <f>IFERROR(__xludf.DUMMYFUNCTION("""COMPUTED_VALUE"""),44822.0)</f>
        <v>44822</v>
      </c>
      <c r="K996" s="5" t="str">
        <f>IFERROR(__xludf.DUMMYFUNCTION("""COMPUTED_VALUE"""),"upper-middle-income")</f>
        <v>upper-middle-income</v>
      </c>
      <c r="L996" s="5" t="str">
        <f>IFERROR(__xludf.DUMMYFUNCTION("""COMPUTED_VALUE"""),"Bahamas")</f>
        <v>Bahamas</v>
      </c>
      <c r="M996" s="5" t="str">
        <f>IFERROR(__xludf.DUMMYFUNCTION("""COMPUTED_VALUE"""),"Europe &amp; Central Asia")</f>
        <v>Europe &amp; Central Asia</v>
      </c>
      <c r="N996" s="5" t="str">
        <f>IFERROR(__xludf.DUMMYFUNCTION("""COMPUTED_VALUE"""),"Asia-Pacific")</f>
        <v>Asia-Pacific</v>
      </c>
      <c r="O996" s="5" t="str">
        <f>IFERROR(__xludf.DUMMYFUNCTION("""COMPUTED_VALUE"""),"developing")</f>
        <v>developing</v>
      </c>
      <c r="P996" s="5"/>
      <c r="Q996" s="5"/>
    </row>
    <row r="997">
      <c r="A997" s="5" t="str">
        <f>IFERROR(__xludf.DUMMYFUNCTION("""COMPUTED_VALUE"""),"Outbound")</f>
        <v>Outbound</v>
      </c>
      <c r="B997" s="5">
        <f>IFERROR(__xludf.DUMMYFUNCTION("""COMPUTED_VALUE"""),134.0)</f>
        <v>134</v>
      </c>
      <c r="C997" s="5" t="str">
        <f>IFERROR(__xludf.DUMMYFUNCTION("""COMPUTED_VALUE"""),"INCE AKDENIZ")</f>
        <v>INCE AKDENIZ</v>
      </c>
      <c r="D997" s="5">
        <f>IFERROR(__xludf.DUMMYFUNCTION("""COMPUTED_VALUE"""),9456460.0)</f>
        <v>9456460</v>
      </c>
      <c r="E997" s="5" t="str">
        <f>IFERROR(__xludf.DUMMYFUNCTION("""COMPUTED_VALUE"""),"Yuzhny/Pivdennyi")</f>
        <v>Yuzhny/Pivdennyi</v>
      </c>
      <c r="F997" s="5" t="str">
        <f>IFERROR(__xludf.DUMMYFUNCTION("""COMPUTED_VALUE"""),"Bangladesh")</f>
        <v>Bangladesh</v>
      </c>
      <c r="G997" s="5" t="str">
        <f>IFERROR(__xludf.DUMMYFUNCTION("""COMPUTED_VALUE"""),"Wheat")</f>
        <v>Wheat</v>
      </c>
      <c r="H997" s="6">
        <f>IFERROR(__xludf.DUMMYFUNCTION("""COMPUTED_VALUE"""),55000.0)</f>
        <v>55000</v>
      </c>
      <c r="I997" s="7">
        <f>IFERROR(__xludf.DUMMYFUNCTION("""COMPUTED_VALUE"""),44818.0)</f>
        <v>44818</v>
      </c>
      <c r="J997" s="7">
        <f>IFERROR(__xludf.DUMMYFUNCTION("""COMPUTED_VALUE"""),44826.0)</f>
        <v>44826</v>
      </c>
      <c r="K997" s="5" t="str">
        <f>IFERROR(__xludf.DUMMYFUNCTION("""COMPUTED_VALUE"""),"lower-middle income")</f>
        <v>lower-middle income</v>
      </c>
      <c r="L997" s="5" t="str">
        <f>IFERROR(__xludf.DUMMYFUNCTION("""COMPUTED_VALUE"""),"Singapore")</f>
        <v>Singapore</v>
      </c>
      <c r="M997" s="5" t="str">
        <f>IFERROR(__xludf.DUMMYFUNCTION("""COMPUTED_VALUE"""),"South Asia")</f>
        <v>South Asia</v>
      </c>
      <c r="N997" s="5" t="str">
        <f>IFERROR(__xludf.DUMMYFUNCTION("""COMPUTED_VALUE"""),"Asia-Pacific")</f>
        <v>Asia-Pacific</v>
      </c>
      <c r="O997" s="5" t="str">
        <f>IFERROR(__xludf.DUMMYFUNCTION("""COMPUTED_VALUE"""),"developing")</f>
        <v>developing</v>
      </c>
      <c r="P997" s="5"/>
      <c r="Q997" s="5"/>
    </row>
    <row r="998">
      <c r="A998" s="5" t="str">
        <f>IFERROR(__xludf.DUMMYFUNCTION("""COMPUTED_VALUE"""),"Outbound")</f>
        <v>Outbound</v>
      </c>
      <c r="B998" s="5">
        <f>IFERROR(__xludf.DUMMYFUNCTION("""COMPUTED_VALUE"""),133.0)</f>
        <v>133</v>
      </c>
      <c r="C998" s="5" t="str">
        <f>IFERROR(__xludf.DUMMYFUNCTION("""COMPUTED_VALUE"""),"T-MED")</f>
        <v>T-MED</v>
      </c>
      <c r="D998" s="5">
        <f>IFERROR(__xludf.DUMMYFUNCTION("""COMPUTED_VALUE"""),9163142.0)</f>
        <v>9163142</v>
      </c>
      <c r="E998" s="5" t="str">
        <f>IFERROR(__xludf.DUMMYFUNCTION("""COMPUTED_VALUE"""),"Yuzhny/Pivdennyi")</f>
        <v>Yuzhny/Pivdennyi</v>
      </c>
      <c r="F998" s="5" t="str">
        <f>IFERROR(__xludf.DUMMYFUNCTION("""COMPUTED_VALUE"""),"Türkiye")</f>
        <v>Türkiye</v>
      </c>
      <c r="G998" s="5" t="str">
        <f>IFERROR(__xludf.DUMMYFUNCTION("""COMPUTED_VALUE"""),"Wheat")</f>
        <v>Wheat</v>
      </c>
      <c r="H998" s="6">
        <f>IFERROR(__xludf.DUMMYFUNCTION("""COMPUTED_VALUE"""),5500.0)</f>
        <v>5500</v>
      </c>
      <c r="I998" s="7">
        <f>IFERROR(__xludf.DUMMYFUNCTION("""COMPUTED_VALUE"""),44818.0)</f>
        <v>44818</v>
      </c>
      <c r="J998" s="7">
        <f>IFERROR(__xludf.DUMMYFUNCTION("""COMPUTED_VALUE"""),44823.0)</f>
        <v>44823</v>
      </c>
      <c r="K998" s="5" t="str">
        <f>IFERROR(__xludf.DUMMYFUNCTION("""COMPUTED_VALUE"""),"upper-middle-income")</f>
        <v>upper-middle-income</v>
      </c>
      <c r="L998" s="5" t="str">
        <f>IFERROR(__xludf.DUMMYFUNCTION("""COMPUTED_VALUE"""),"Panama")</f>
        <v>Panama</v>
      </c>
      <c r="M998" s="5" t="str">
        <f>IFERROR(__xludf.DUMMYFUNCTION("""COMPUTED_VALUE"""),"Europe &amp; Central Asia")</f>
        <v>Europe &amp; Central Asia</v>
      </c>
      <c r="N998" s="5" t="str">
        <f>IFERROR(__xludf.DUMMYFUNCTION("""COMPUTED_VALUE"""),"Asia-Pacific")</f>
        <v>Asia-Pacific</v>
      </c>
      <c r="O998" s="5" t="str">
        <f>IFERROR(__xludf.DUMMYFUNCTION("""COMPUTED_VALUE"""),"developing")</f>
        <v>developing</v>
      </c>
      <c r="P998" s="5"/>
      <c r="Q998" s="5"/>
    </row>
    <row r="999">
      <c r="A999" s="5" t="str">
        <f>IFERROR(__xludf.DUMMYFUNCTION("""COMPUTED_VALUE"""),"Outbound")</f>
        <v>Outbound</v>
      </c>
      <c r="B999" s="5">
        <f>IFERROR(__xludf.DUMMYFUNCTION("""COMPUTED_VALUE"""),132.0)</f>
        <v>132</v>
      </c>
      <c r="C999" s="5" t="str">
        <f>IFERROR(__xludf.DUMMYFUNCTION("""COMPUTED_VALUE"""),"CPT DIMITRIOS S")</f>
        <v>CPT DIMITRIOS S</v>
      </c>
      <c r="D999" s="5">
        <f>IFERROR(__xludf.DUMMYFUNCTION("""COMPUTED_VALUE"""),9221592.0)</f>
        <v>9221592</v>
      </c>
      <c r="E999" s="5" t="str">
        <f>IFERROR(__xludf.DUMMYFUNCTION("""COMPUTED_VALUE"""),"Yuzhny/Pivdennyi")</f>
        <v>Yuzhny/Pivdennyi</v>
      </c>
      <c r="F999" s="5" t="str">
        <f>IFERROR(__xludf.DUMMYFUNCTION("""COMPUTED_VALUE"""),"Spain")</f>
        <v>Spain</v>
      </c>
      <c r="G999" s="5" t="str">
        <f>IFERROR(__xludf.DUMMYFUNCTION("""COMPUTED_VALUE"""),"Corn")</f>
        <v>Corn</v>
      </c>
      <c r="H999" s="6">
        <f>IFERROR(__xludf.DUMMYFUNCTION("""COMPUTED_VALUE"""),56800.0)</f>
        <v>56800</v>
      </c>
      <c r="I999" s="7">
        <f>IFERROR(__xludf.DUMMYFUNCTION("""COMPUTED_VALUE"""),44818.0)</f>
        <v>44818</v>
      </c>
      <c r="J999" s="7">
        <f>IFERROR(__xludf.DUMMYFUNCTION("""COMPUTED_VALUE"""),44823.0)</f>
        <v>44823</v>
      </c>
      <c r="K999" s="5" t="str">
        <f>IFERROR(__xludf.DUMMYFUNCTION("""COMPUTED_VALUE"""),"high-income")</f>
        <v>high-income</v>
      </c>
      <c r="L999" s="5" t="str">
        <f>IFERROR(__xludf.DUMMYFUNCTION("""COMPUTED_VALUE"""),"Liberia")</f>
        <v>Liberia</v>
      </c>
      <c r="M999" s="5" t="str">
        <f>IFERROR(__xludf.DUMMYFUNCTION("""COMPUTED_VALUE"""),"Europe &amp; Central Asia")</f>
        <v>Europe &amp; Central Asia</v>
      </c>
      <c r="N999" s="5" t="str">
        <f>IFERROR(__xludf.DUMMYFUNCTION("""COMPUTED_VALUE"""),"Western Europe and Others")</f>
        <v>Western Europe and Others</v>
      </c>
      <c r="O999" s="5" t="str">
        <f>IFERROR(__xludf.DUMMYFUNCTION("""COMPUTED_VALUE"""),"developed")</f>
        <v>developed</v>
      </c>
      <c r="P999" s="5"/>
      <c r="Q999" s="5"/>
    </row>
    <row r="1000">
      <c r="A1000" s="5" t="str">
        <f>IFERROR(__xludf.DUMMYFUNCTION("""COMPUTED_VALUE"""),"Outbound +")</f>
        <v>Outbound +</v>
      </c>
      <c r="B1000" s="5">
        <f>IFERROR(__xludf.DUMMYFUNCTION("""COMPUTED_VALUE"""),132.0)</f>
        <v>132</v>
      </c>
      <c r="C1000" s="5" t="str">
        <f>IFERROR(__xludf.DUMMYFUNCTION("""COMPUTED_VALUE"""),"CPT DIMITRIOS S")</f>
        <v>CPT DIMITRIOS S</v>
      </c>
      <c r="D1000" s="5">
        <f>IFERROR(__xludf.DUMMYFUNCTION("""COMPUTED_VALUE"""),9221592.0)</f>
        <v>9221592</v>
      </c>
      <c r="E1000" s="5" t="str">
        <f>IFERROR(__xludf.DUMMYFUNCTION("""COMPUTED_VALUE"""),"Yuzhny/Pivdennyi")</f>
        <v>Yuzhny/Pivdennyi</v>
      </c>
      <c r="F1000" s="5" t="str">
        <f>IFERROR(__xludf.DUMMYFUNCTION("""COMPUTED_VALUE"""),"Spain")</f>
        <v>Spain</v>
      </c>
      <c r="G1000" s="5" t="str">
        <f>IFERROR(__xludf.DUMMYFUNCTION("""COMPUTED_VALUE"""),"Barley")</f>
        <v>Barley</v>
      </c>
      <c r="H1000" s="6">
        <f>IFERROR(__xludf.DUMMYFUNCTION("""COMPUTED_VALUE"""),8543.0)</f>
        <v>8543</v>
      </c>
      <c r="I1000" s="7">
        <f>IFERROR(__xludf.DUMMYFUNCTION("""COMPUTED_VALUE"""),44818.0)</f>
        <v>44818</v>
      </c>
      <c r="J1000" s="7">
        <f>IFERROR(__xludf.DUMMYFUNCTION("""COMPUTED_VALUE"""),44823.0)</f>
        <v>44823</v>
      </c>
      <c r="K1000" s="5" t="str">
        <f>IFERROR(__xludf.DUMMYFUNCTION("""COMPUTED_VALUE"""),"high-income")</f>
        <v>high-income</v>
      </c>
      <c r="L1000" s="5" t="str">
        <f>IFERROR(__xludf.DUMMYFUNCTION("""COMPUTED_VALUE"""),"Liberia")</f>
        <v>Liberia</v>
      </c>
      <c r="M1000" s="5" t="str">
        <f>IFERROR(__xludf.DUMMYFUNCTION("""COMPUTED_VALUE"""),"Europe &amp; Central Asia")</f>
        <v>Europe &amp; Central Asia</v>
      </c>
      <c r="N1000" s="5" t="str">
        <f>IFERROR(__xludf.DUMMYFUNCTION("""COMPUTED_VALUE"""),"Western Europe and Others")</f>
        <v>Western Europe and Others</v>
      </c>
      <c r="O1000" s="5" t="str">
        <f>IFERROR(__xludf.DUMMYFUNCTION("""COMPUTED_VALUE"""),"developed")</f>
        <v>developed</v>
      </c>
      <c r="P1000" s="5"/>
      <c r="Q1000" s="5"/>
    </row>
    <row r="1001">
      <c r="A1001" s="5" t="str">
        <f>IFERROR(__xludf.DUMMYFUNCTION("""COMPUTED_VALUE"""),"Outbound")</f>
        <v>Outbound</v>
      </c>
      <c r="B1001" s="5">
        <f>IFERROR(__xludf.DUMMYFUNCTION("""COMPUTED_VALUE"""),131.0)</f>
        <v>131</v>
      </c>
      <c r="C1001" s="5" t="str">
        <f>IFERROR(__xludf.DUMMYFUNCTION("""COMPUTED_VALUE"""),"MARANTA")</f>
        <v>MARANTA</v>
      </c>
      <c r="D1001" s="5">
        <f>IFERROR(__xludf.DUMMYFUNCTION("""COMPUTED_VALUE"""),9206669.0)</f>
        <v>9206669</v>
      </c>
      <c r="E1001" s="5" t="str">
        <f>IFERROR(__xludf.DUMMYFUNCTION("""COMPUTED_VALUE"""),"Odesa")</f>
        <v>Odesa</v>
      </c>
      <c r="F1001" s="5" t="str">
        <f>IFERROR(__xludf.DUMMYFUNCTION("""COMPUTED_VALUE"""),"Italy")</f>
        <v>Italy</v>
      </c>
      <c r="G1001" s="5" t="str">
        <f>IFERROR(__xludf.DUMMYFUNCTION("""COMPUTED_VALUE"""),"Soya beans")</f>
        <v>Soya beans</v>
      </c>
      <c r="H1001" s="6">
        <f>IFERROR(__xludf.DUMMYFUNCTION("""COMPUTED_VALUE"""),5300.0)</f>
        <v>5300</v>
      </c>
      <c r="I1001" s="7">
        <f>IFERROR(__xludf.DUMMYFUNCTION("""COMPUTED_VALUE"""),44818.0)</f>
        <v>44818</v>
      </c>
      <c r="J1001" s="7">
        <f>IFERROR(__xludf.DUMMYFUNCTION("""COMPUTED_VALUE"""),44822.0)</f>
        <v>44822</v>
      </c>
      <c r="K1001" s="5" t="str">
        <f>IFERROR(__xludf.DUMMYFUNCTION("""COMPUTED_VALUE"""),"high-income")</f>
        <v>high-income</v>
      </c>
      <c r="L1001" s="5" t="str">
        <f>IFERROR(__xludf.DUMMYFUNCTION("""COMPUTED_VALUE"""),"Cook Islands")</f>
        <v>Cook Islands</v>
      </c>
      <c r="M1001" s="5" t="str">
        <f>IFERROR(__xludf.DUMMYFUNCTION("""COMPUTED_VALUE"""),"Europe &amp; Central Asia")</f>
        <v>Europe &amp; Central Asia</v>
      </c>
      <c r="N1001" s="5" t="str">
        <f>IFERROR(__xludf.DUMMYFUNCTION("""COMPUTED_VALUE"""),"Western Europe and Others")</f>
        <v>Western Europe and Others</v>
      </c>
      <c r="O1001" s="5" t="str">
        <f>IFERROR(__xludf.DUMMYFUNCTION("""COMPUTED_VALUE"""),"developed")</f>
        <v>developed</v>
      </c>
      <c r="P1001" s="5"/>
      <c r="Q1001" s="5"/>
    </row>
    <row r="1002">
      <c r="A1002" s="5" t="str">
        <f>IFERROR(__xludf.DUMMYFUNCTION("""COMPUTED_VALUE"""),"Outbound")</f>
        <v>Outbound</v>
      </c>
      <c r="B1002" s="5">
        <f>IFERROR(__xludf.DUMMYFUNCTION("""COMPUTED_VALUE"""),130.0)</f>
        <v>130</v>
      </c>
      <c r="C1002" s="5" t="str">
        <f>IFERROR(__xludf.DUMMYFUNCTION("""COMPUTED_VALUE"""),"TAMREY S")</f>
        <v>TAMREY S</v>
      </c>
      <c r="D1002" s="5">
        <f>IFERROR(__xludf.DUMMYFUNCTION("""COMPUTED_VALUE"""),9171541.0)</f>
        <v>9171541</v>
      </c>
      <c r="E1002" s="5" t="str">
        <f>IFERROR(__xludf.DUMMYFUNCTION("""COMPUTED_VALUE"""),"Odesa")</f>
        <v>Odesa</v>
      </c>
      <c r="F1002" s="5" t="str">
        <f>IFERROR(__xludf.DUMMYFUNCTION("""COMPUTED_VALUE"""),"Italy")</f>
        <v>Italy</v>
      </c>
      <c r="G1002" s="5" t="str">
        <f>IFERROR(__xludf.DUMMYFUNCTION("""COMPUTED_VALUE"""),"Corn")</f>
        <v>Corn</v>
      </c>
      <c r="H1002" s="6">
        <f>IFERROR(__xludf.DUMMYFUNCTION("""COMPUTED_VALUE"""),18100.0)</f>
        <v>18100</v>
      </c>
      <c r="I1002" s="7">
        <f>IFERROR(__xludf.DUMMYFUNCTION("""COMPUTED_VALUE"""),44818.0)</f>
        <v>44818</v>
      </c>
      <c r="J1002" s="7">
        <f>IFERROR(__xludf.DUMMYFUNCTION("""COMPUTED_VALUE"""),44826.0)</f>
        <v>44826</v>
      </c>
      <c r="K1002" s="5" t="str">
        <f>IFERROR(__xludf.DUMMYFUNCTION("""COMPUTED_VALUE"""),"high-income")</f>
        <v>high-income</v>
      </c>
      <c r="L1002" s="5" t="str">
        <f>IFERROR(__xludf.DUMMYFUNCTION("""COMPUTED_VALUE"""),"Türkiye")</f>
        <v>Türkiye</v>
      </c>
      <c r="M1002" s="5" t="str">
        <f>IFERROR(__xludf.DUMMYFUNCTION("""COMPUTED_VALUE"""),"Europe &amp; Central Asia")</f>
        <v>Europe &amp; Central Asia</v>
      </c>
      <c r="N1002" s="5" t="str">
        <f>IFERROR(__xludf.DUMMYFUNCTION("""COMPUTED_VALUE"""),"Western Europe and Others")</f>
        <v>Western Europe and Others</v>
      </c>
      <c r="O1002" s="5" t="str">
        <f>IFERROR(__xludf.DUMMYFUNCTION("""COMPUTED_VALUE"""),"developed")</f>
        <v>developed</v>
      </c>
      <c r="P1002" s="5"/>
      <c r="Q1002" s="5"/>
    </row>
    <row r="1003">
      <c r="A1003" s="5" t="str">
        <f>IFERROR(__xludf.DUMMYFUNCTION("""COMPUTED_VALUE"""),"Outbound +")</f>
        <v>Outbound +</v>
      </c>
      <c r="B1003" s="5">
        <f>IFERROR(__xludf.DUMMYFUNCTION("""COMPUTED_VALUE"""),130.0)</f>
        <v>130</v>
      </c>
      <c r="C1003" s="5" t="str">
        <f>IFERROR(__xludf.DUMMYFUNCTION("""COMPUTED_VALUE"""),"TAMREY S")</f>
        <v>TAMREY S</v>
      </c>
      <c r="D1003" s="5">
        <f>IFERROR(__xludf.DUMMYFUNCTION("""COMPUTED_VALUE"""),9171541.0)</f>
        <v>9171541</v>
      </c>
      <c r="E1003" s="5" t="str">
        <f>IFERROR(__xludf.DUMMYFUNCTION("""COMPUTED_VALUE"""),"Odesa")</f>
        <v>Odesa</v>
      </c>
      <c r="F1003" s="5" t="str">
        <f>IFERROR(__xludf.DUMMYFUNCTION("""COMPUTED_VALUE"""),"Italy")</f>
        <v>Italy</v>
      </c>
      <c r="G1003" s="5" t="str">
        <f>IFERROR(__xludf.DUMMYFUNCTION("""COMPUTED_VALUE"""),"Soya beans")</f>
        <v>Soya beans</v>
      </c>
      <c r="H1003" s="6">
        <f>IFERROR(__xludf.DUMMYFUNCTION("""COMPUTED_VALUE"""),5500.0)</f>
        <v>5500</v>
      </c>
      <c r="I1003" s="7">
        <f>IFERROR(__xludf.DUMMYFUNCTION("""COMPUTED_VALUE"""),44818.0)</f>
        <v>44818</v>
      </c>
      <c r="J1003" s="7">
        <f>IFERROR(__xludf.DUMMYFUNCTION("""COMPUTED_VALUE"""),44826.0)</f>
        <v>44826</v>
      </c>
      <c r="K1003" s="5" t="str">
        <f>IFERROR(__xludf.DUMMYFUNCTION("""COMPUTED_VALUE"""),"high-income")</f>
        <v>high-income</v>
      </c>
      <c r="L1003" s="5" t="str">
        <f>IFERROR(__xludf.DUMMYFUNCTION("""COMPUTED_VALUE"""),"Türkiye")</f>
        <v>Türkiye</v>
      </c>
      <c r="M1003" s="5" t="str">
        <f>IFERROR(__xludf.DUMMYFUNCTION("""COMPUTED_VALUE"""),"Europe &amp; Central Asia")</f>
        <v>Europe &amp; Central Asia</v>
      </c>
      <c r="N1003" s="5" t="str">
        <f>IFERROR(__xludf.DUMMYFUNCTION("""COMPUTED_VALUE"""),"Western Europe and Others")</f>
        <v>Western Europe and Others</v>
      </c>
      <c r="O1003" s="5" t="str">
        <f>IFERROR(__xludf.DUMMYFUNCTION("""COMPUTED_VALUE"""),"developed")</f>
        <v>developed</v>
      </c>
      <c r="P1003" s="5"/>
      <c r="Q1003" s="5"/>
    </row>
    <row r="1004">
      <c r="A1004" s="5" t="str">
        <f>IFERROR(__xludf.DUMMYFUNCTION("""COMPUTED_VALUE"""),"Outbound +")</f>
        <v>Outbound +</v>
      </c>
      <c r="B1004" s="5">
        <f>IFERROR(__xludf.DUMMYFUNCTION("""COMPUTED_VALUE"""),130.0)</f>
        <v>130</v>
      </c>
      <c r="C1004" s="5" t="str">
        <f>IFERROR(__xludf.DUMMYFUNCTION("""COMPUTED_VALUE"""),"TAMREY S")</f>
        <v>TAMREY S</v>
      </c>
      <c r="D1004" s="5">
        <f>IFERROR(__xludf.DUMMYFUNCTION("""COMPUTED_VALUE"""),9171541.0)</f>
        <v>9171541</v>
      </c>
      <c r="E1004" s="5" t="str">
        <f>IFERROR(__xludf.DUMMYFUNCTION("""COMPUTED_VALUE"""),"Odesa")</f>
        <v>Odesa</v>
      </c>
      <c r="F1004" s="5" t="str">
        <f>IFERROR(__xludf.DUMMYFUNCTION("""COMPUTED_VALUE"""),"Italy")</f>
        <v>Italy</v>
      </c>
      <c r="G1004" s="5" t="str">
        <f>IFERROR(__xludf.DUMMYFUNCTION("""COMPUTED_VALUE"""),"Wheat")</f>
        <v>Wheat</v>
      </c>
      <c r="H1004" s="6">
        <f>IFERROR(__xludf.DUMMYFUNCTION("""COMPUTED_VALUE"""),5400.0)</f>
        <v>5400</v>
      </c>
      <c r="I1004" s="7">
        <f>IFERROR(__xludf.DUMMYFUNCTION("""COMPUTED_VALUE"""),44818.0)</f>
        <v>44818</v>
      </c>
      <c r="J1004" s="7">
        <f>IFERROR(__xludf.DUMMYFUNCTION("""COMPUTED_VALUE"""),44826.0)</f>
        <v>44826</v>
      </c>
      <c r="K1004" s="5" t="str">
        <f>IFERROR(__xludf.DUMMYFUNCTION("""COMPUTED_VALUE"""),"high-income")</f>
        <v>high-income</v>
      </c>
      <c r="L1004" s="5" t="str">
        <f>IFERROR(__xludf.DUMMYFUNCTION("""COMPUTED_VALUE"""),"Türkiye")</f>
        <v>Türkiye</v>
      </c>
      <c r="M1004" s="5" t="str">
        <f>IFERROR(__xludf.DUMMYFUNCTION("""COMPUTED_VALUE"""),"Europe &amp; Central Asia")</f>
        <v>Europe &amp; Central Asia</v>
      </c>
      <c r="N1004" s="5" t="str">
        <f>IFERROR(__xludf.DUMMYFUNCTION("""COMPUTED_VALUE"""),"Western Europe and Others")</f>
        <v>Western Europe and Others</v>
      </c>
      <c r="O1004" s="5" t="str">
        <f>IFERROR(__xludf.DUMMYFUNCTION("""COMPUTED_VALUE"""),"developed")</f>
        <v>developed</v>
      </c>
      <c r="P1004" s="5"/>
      <c r="Q1004" s="5"/>
    </row>
    <row r="1005">
      <c r="A1005" s="5" t="str">
        <f>IFERROR(__xludf.DUMMYFUNCTION("""COMPUTED_VALUE"""),"Outbound")</f>
        <v>Outbound</v>
      </c>
      <c r="B1005" s="5">
        <f>IFERROR(__xludf.DUMMYFUNCTION("""COMPUTED_VALUE"""),129.0)</f>
        <v>129</v>
      </c>
      <c r="C1005" s="5" t="str">
        <f>IFERROR(__xludf.DUMMYFUNCTION("""COMPUTED_VALUE"""),"GREIFSWALD")</f>
        <v>GREIFSWALD</v>
      </c>
      <c r="D1005" s="5">
        <f>IFERROR(__xludf.DUMMYFUNCTION("""COMPUTED_VALUE"""),8311912.0)</f>
        <v>8311912</v>
      </c>
      <c r="E1005" s="5" t="str">
        <f>IFERROR(__xludf.DUMMYFUNCTION("""COMPUTED_VALUE"""),"Chornomorsk")</f>
        <v>Chornomorsk</v>
      </c>
      <c r="F1005" s="5" t="str">
        <f>IFERROR(__xludf.DUMMYFUNCTION("""COMPUTED_VALUE"""),"Türkiye")</f>
        <v>Türkiye</v>
      </c>
      <c r="G1005" s="5" t="str">
        <f>IFERROR(__xludf.DUMMYFUNCTION("""COMPUTED_VALUE"""),"Corn")</f>
        <v>Corn</v>
      </c>
      <c r="H1005" s="6">
        <f>IFERROR(__xludf.DUMMYFUNCTION("""COMPUTED_VALUE"""),492.0)</f>
        <v>492</v>
      </c>
      <c r="I1005" s="7">
        <f>IFERROR(__xludf.DUMMYFUNCTION("""COMPUTED_VALUE"""),44817.0)</f>
        <v>44817</v>
      </c>
      <c r="J1005" s="7">
        <f>IFERROR(__xludf.DUMMYFUNCTION("""COMPUTED_VALUE"""),44822.0)</f>
        <v>44822</v>
      </c>
      <c r="K1005" s="5" t="str">
        <f>IFERROR(__xludf.DUMMYFUNCTION("""COMPUTED_VALUE"""),"upper-middle-income")</f>
        <v>upper-middle-income</v>
      </c>
      <c r="L1005" s="5" t="str">
        <f>IFERROR(__xludf.DUMMYFUNCTION("""COMPUTED_VALUE"""),"Panama")</f>
        <v>Panama</v>
      </c>
      <c r="M1005" s="5" t="str">
        <f>IFERROR(__xludf.DUMMYFUNCTION("""COMPUTED_VALUE"""),"Europe &amp; Central Asia")</f>
        <v>Europe &amp; Central Asia</v>
      </c>
      <c r="N1005" s="5" t="str">
        <f>IFERROR(__xludf.DUMMYFUNCTION("""COMPUTED_VALUE"""),"Asia-Pacific")</f>
        <v>Asia-Pacific</v>
      </c>
      <c r="O1005" s="5" t="str">
        <f>IFERROR(__xludf.DUMMYFUNCTION("""COMPUTED_VALUE"""),"developing")</f>
        <v>developing</v>
      </c>
      <c r="P1005" s="5"/>
      <c r="Q1005" s="5" t="str">
        <f>IFERROR(__xludf.DUMMYFUNCTION("""COMPUTED_VALUE"""),"Stranded")</f>
        <v>Stranded</v>
      </c>
    </row>
    <row r="1006">
      <c r="A1006" s="5" t="str">
        <f>IFERROR(__xludf.DUMMYFUNCTION("""COMPUTED_VALUE"""),"Outbound")</f>
        <v>Outbound</v>
      </c>
      <c r="B1006" s="5">
        <f>IFERROR(__xludf.DUMMYFUNCTION("""COMPUTED_VALUE"""),128.0)</f>
        <v>128</v>
      </c>
      <c r="C1006" s="5" t="str">
        <f>IFERROR(__xludf.DUMMYFUNCTION("""COMPUTED_VALUE"""),"ATA OCEAN")</f>
        <v>ATA OCEAN</v>
      </c>
      <c r="D1006" s="5">
        <f>IFERROR(__xludf.DUMMYFUNCTION("""COMPUTED_VALUE"""),9519614.0)</f>
        <v>9519614</v>
      </c>
      <c r="E1006" s="5" t="str">
        <f>IFERROR(__xludf.DUMMYFUNCTION("""COMPUTED_VALUE"""),"Yuzhny/Pivdennyi")</f>
        <v>Yuzhny/Pivdennyi</v>
      </c>
      <c r="F1006" s="5" t="str">
        <f>IFERROR(__xludf.DUMMYFUNCTION("""COMPUTED_VALUE"""),"Türkiye")</f>
        <v>Türkiye</v>
      </c>
      <c r="G1006" s="5" t="str">
        <f>IFERROR(__xludf.DUMMYFUNCTION("""COMPUTED_VALUE"""),"Sunflower oil")</f>
        <v>Sunflower oil</v>
      </c>
      <c r="H1006" s="6">
        <f>IFERROR(__xludf.DUMMYFUNCTION("""COMPUTED_VALUE"""),6300.0)</f>
        <v>6300</v>
      </c>
      <c r="I1006" s="7">
        <f>IFERROR(__xludf.DUMMYFUNCTION("""COMPUTED_VALUE"""),44817.0)</f>
        <v>44817</v>
      </c>
      <c r="J1006" s="7">
        <f>IFERROR(__xludf.DUMMYFUNCTION("""COMPUTED_VALUE"""),44822.0)</f>
        <v>44822</v>
      </c>
      <c r="K1006" s="5" t="str">
        <f>IFERROR(__xludf.DUMMYFUNCTION("""COMPUTED_VALUE"""),"upper-middle-income")</f>
        <v>upper-middle-income</v>
      </c>
      <c r="L1006" s="5" t="str">
        <f>IFERROR(__xludf.DUMMYFUNCTION("""COMPUTED_VALUE"""),"Malta")</f>
        <v>Malta</v>
      </c>
      <c r="M1006" s="5" t="str">
        <f>IFERROR(__xludf.DUMMYFUNCTION("""COMPUTED_VALUE"""),"Europe &amp; Central Asia")</f>
        <v>Europe &amp; Central Asia</v>
      </c>
      <c r="N1006" s="5" t="str">
        <f>IFERROR(__xludf.DUMMYFUNCTION("""COMPUTED_VALUE"""),"Asia-Pacific")</f>
        <v>Asia-Pacific</v>
      </c>
      <c r="O1006" s="5" t="str">
        <f>IFERROR(__xludf.DUMMYFUNCTION("""COMPUTED_VALUE"""),"developing")</f>
        <v>developing</v>
      </c>
      <c r="P1006" s="5"/>
      <c r="Q1006" s="5"/>
    </row>
    <row r="1007">
      <c r="A1007" s="5" t="str">
        <f>IFERROR(__xludf.DUMMYFUNCTION("""COMPUTED_VALUE"""),"Outbound")</f>
        <v>Outbound</v>
      </c>
      <c r="B1007" s="5">
        <f>IFERROR(__xludf.DUMMYFUNCTION("""COMPUTED_VALUE"""),127.0)</f>
        <v>127</v>
      </c>
      <c r="C1007" s="5" t="str">
        <f>IFERROR(__xludf.DUMMYFUNCTION("""COMPUTED_VALUE"""),"SAFFET AGA")</f>
        <v>SAFFET AGA</v>
      </c>
      <c r="D1007" s="5">
        <f>IFERROR(__xludf.DUMMYFUNCTION("""COMPUTED_VALUE"""),9376282.0)</f>
        <v>9376282</v>
      </c>
      <c r="E1007" s="5" t="str">
        <f>IFERROR(__xludf.DUMMYFUNCTION("""COMPUTED_VALUE"""),"Odesa")</f>
        <v>Odesa</v>
      </c>
      <c r="F1007" s="5" t="str">
        <f>IFERROR(__xludf.DUMMYFUNCTION("""COMPUTED_VALUE"""),"Türkiye")</f>
        <v>Türkiye</v>
      </c>
      <c r="G1007" s="5" t="str">
        <f>IFERROR(__xludf.DUMMYFUNCTION("""COMPUTED_VALUE"""),"Soya beans")</f>
        <v>Soya beans</v>
      </c>
      <c r="H1007" s="6">
        <f>IFERROR(__xludf.DUMMYFUNCTION("""COMPUTED_VALUE"""),3300.0)</f>
        <v>3300</v>
      </c>
      <c r="I1007" s="7">
        <f>IFERROR(__xludf.DUMMYFUNCTION("""COMPUTED_VALUE"""),44817.0)</f>
        <v>44817</v>
      </c>
      <c r="J1007" s="7">
        <f>IFERROR(__xludf.DUMMYFUNCTION("""COMPUTED_VALUE"""),44822.0)</f>
        <v>44822</v>
      </c>
      <c r="K1007" s="5" t="str">
        <f>IFERROR(__xludf.DUMMYFUNCTION("""COMPUTED_VALUE"""),"upper-middle-income")</f>
        <v>upper-middle-income</v>
      </c>
      <c r="L1007" s="5" t="str">
        <f>IFERROR(__xludf.DUMMYFUNCTION("""COMPUTED_VALUE"""),"Palau")</f>
        <v>Palau</v>
      </c>
      <c r="M1007" s="5" t="str">
        <f>IFERROR(__xludf.DUMMYFUNCTION("""COMPUTED_VALUE"""),"Europe &amp; Central Asia")</f>
        <v>Europe &amp; Central Asia</v>
      </c>
      <c r="N1007" s="5" t="str">
        <f>IFERROR(__xludf.DUMMYFUNCTION("""COMPUTED_VALUE"""),"Asia-Pacific")</f>
        <v>Asia-Pacific</v>
      </c>
      <c r="O1007" s="5" t="str">
        <f>IFERROR(__xludf.DUMMYFUNCTION("""COMPUTED_VALUE"""),"developing")</f>
        <v>developing</v>
      </c>
      <c r="P1007" s="5"/>
      <c r="Q1007" s="5"/>
    </row>
    <row r="1008">
      <c r="A1008" s="5" t="str">
        <f>IFERROR(__xludf.DUMMYFUNCTION("""COMPUTED_VALUE"""),"Outbound")</f>
        <v>Outbound</v>
      </c>
      <c r="B1008" s="5">
        <f>IFERROR(__xludf.DUMMYFUNCTION("""COMPUTED_VALUE"""),126.0)</f>
        <v>126</v>
      </c>
      <c r="C1008" s="5" t="str">
        <f>IFERROR(__xludf.DUMMYFUNCTION("""COMPUTED_VALUE"""),"FANARIA")</f>
        <v>FANARIA</v>
      </c>
      <c r="D1008" s="5">
        <f>IFERROR(__xludf.DUMMYFUNCTION("""COMPUTED_VALUE"""),9228241.0)</f>
        <v>9228241</v>
      </c>
      <c r="E1008" s="5" t="str">
        <f>IFERROR(__xludf.DUMMYFUNCTION("""COMPUTED_VALUE"""),"Odesa")</f>
        <v>Odesa</v>
      </c>
      <c r="F1008" s="5" t="str">
        <f>IFERROR(__xludf.DUMMYFUNCTION("""COMPUTED_VALUE"""),"Spain")</f>
        <v>Spain</v>
      </c>
      <c r="G1008" s="5" t="str">
        <f>IFERROR(__xludf.DUMMYFUNCTION("""COMPUTED_VALUE"""),"Wheat")</f>
        <v>Wheat</v>
      </c>
      <c r="H1008" s="6">
        <f>IFERROR(__xludf.DUMMYFUNCTION("""COMPUTED_VALUE"""),18000.0)</f>
        <v>18000</v>
      </c>
      <c r="I1008" s="7">
        <f>IFERROR(__xludf.DUMMYFUNCTION("""COMPUTED_VALUE"""),44817.0)</f>
        <v>44817</v>
      </c>
      <c r="J1008" s="7">
        <f>IFERROR(__xludf.DUMMYFUNCTION("""COMPUTED_VALUE"""),44821.0)</f>
        <v>44821</v>
      </c>
      <c r="K1008" s="5" t="str">
        <f>IFERROR(__xludf.DUMMYFUNCTION("""COMPUTED_VALUE"""),"high-income")</f>
        <v>high-income</v>
      </c>
      <c r="L1008" s="5" t="str">
        <f>IFERROR(__xludf.DUMMYFUNCTION("""COMPUTED_VALUE"""),"Panama")</f>
        <v>Panama</v>
      </c>
      <c r="M1008" s="5" t="str">
        <f>IFERROR(__xludf.DUMMYFUNCTION("""COMPUTED_VALUE"""),"Europe &amp; Central Asia")</f>
        <v>Europe &amp; Central Asia</v>
      </c>
      <c r="N1008" s="5" t="str">
        <f>IFERROR(__xludf.DUMMYFUNCTION("""COMPUTED_VALUE"""),"Western Europe and Others")</f>
        <v>Western Europe and Others</v>
      </c>
      <c r="O1008" s="5" t="str">
        <f>IFERROR(__xludf.DUMMYFUNCTION("""COMPUTED_VALUE"""),"developed")</f>
        <v>developed</v>
      </c>
      <c r="P1008" s="5"/>
      <c r="Q1008" s="5"/>
    </row>
    <row r="1009">
      <c r="A1009" s="5" t="str">
        <f>IFERROR(__xludf.DUMMYFUNCTION("""COMPUTED_VALUE"""),"Outbound")</f>
        <v>Outbound</v>
      </c>
      <c r="B1009" s="5">
        <f>IFERROR(__xludf.DUMMYFUNCTION("""COMPUTED_VALUE"""),125.0)</f>
        <v>125</v>
      </c>
      <c r="C1009" s="5" t="str">
        <f>IFERROR(__xludf.DUMMYFUNCTION("""COMPUTED_VALUE"""),"PROPUS")</f>
        <v>PROPUS</v>
      </c>
      <c r="D1009" s="5">
        <f>IFERROR(__xludf.DUMMYFUNCTION("""COMPUTED_VALUE"""),9133757.0)</f>
        <v>9133757</v>
      </c>
      <c r="E1009" s="5" t="str">
        <f>IFERROR(__xludf.DUMMYFUNCTION("""COMPUTED_VALUE"""),"Odesa")</f>
        <v>Odesa</v>
      </c>
      <c r="F1009" s="5" t="str">
        <f>IFERROR(__xludf.DUMMYFUNCTION("""COMPUTED_VALUE"""),"Türkiye")</f>
        <v>Türkiye</v>
      </c>
      <c r="G1009" s="5" t="str">
        <f>IFERROR(__xludf.DUMMYFUNCTION("""COMPUTED_VALUE"""),"Corn")</f>
        <v>Corn</v>
      </c>
      <c r="H1009" s="6">
        <f>IFERROR(__xludf.DUMMYFUNCTION("""COMPUTED_VALUE"""),8500.0)</f>
        <v>8500</v>
      </c>
      <c r="I1009" s="7">
        <f>IFERROR(__xludf.DUMMYFUNCTION("""COMPUTED_VALUE"""),44817.0)</f>
        <v>44817</v>
      </c>
      <c r="J1009" s="7">
        <f>IFERROR(__xludf.DUMMYFUNCTION("""COMPUTED_VALUE"""),44822.0)</f>
        <v>44822</v>
      </c>
      <c r="K1009" s="5" t="str">
        <f>IFERROR(__xludf.DUMMYFUNCTION("""COMPUTED_VALUE"""),"upper-middle-income")</f>
        <v>upper-middle-income</v>
      </c>
      <c r="L1009" s="5" t="str">
        <f>IFERROR(__xludf.DUMMYFUNCTION("""COMPUTED_VALUE"""),"Panama")</f>
        <v>Panama</v>
      </c>
      <c r="M1009" s="5" t="str">
        <f>IFERROR(__xludf.DUMMYFUNCTION("""COMPUTED_VALUE"""),"Europe &amp; Central Asia")</f>
        <v>Europe &amp; Central Asia</v>
      </c>
      <c r="N1009" s="5" t="str">
        <f>IFERROR(__xludf.DUMMYFUNCTION("""COMPUTED_VALUE"""),"Asia-Pacific")</f>
        <v>Asia-Pacific</v>
      </c>
      <c r="O1009" s="5" t="str">
        <f>IFERROR(__xludf.DUMMYFUNCTION("""COMPUTED_VALUE"""),"developing")</f>
        <v>developing</v>
      </c>
      <c r="P1009" s="5"/>
      <c r="Q1009" s="5"/>
    </row>
    <row r="1010">
      <c r="A1010" s="5" t="str">
        <f>IFERROR(__xludf.DUMMYFUNCTION("""COMPUTED_VALUE"""),"Outbound")</f>
        <v>Outbound</v>
      </c>
      <c r="B1010" s="5">
        <f>IFERROR(__xludf.DUMMYFUNCTION("""COMPUTED_VALUE"""),124.0)</f>
        <v>124</v>
      </c>
      <c r="C1010" s="5" t="str">
        <f>IFERROR(__xludf.DUMMYFUNCTION("""COMPUTED_VALUE"""),"YASA TEAM")</f>
        <v>YASA TEAM</v>
      </c>
      <c r="D1010" s="5">
        <f>IFERROR(__xludf.DUMMYFUNCTION("""COMPUTED_VALUE"""),9296250.0)</f>
        <v>9296250</v>
      </c>
      <c r="E1010" s="5" t="str">
        <f>IFERROR(__xludf.DUMMYFUNCTION("""COMPUTED_VALUE"""),"Yuzhny/Pivdennyi")</f>
        <v>Yuzhny/Pivdennyi</v>
      </c>
      <c r="F1010" s="5" t="str">
        <f>IFERROR(__xludf.DUMMYFUNCTION("""COMPUTED_VALUE"""),"Israel")</f>
        <v>Israel</v>
      </c>
      <c r="G1010" s="5" t="str">
        <f>IFERROR(__xludf.DUMMYFUNCTION("""COMPUTED_VALUE"""),"Corn")</f>
        <v>Corn</v>
      </c>
      <c r="H1010" s="6">
        <f>IFERROR(__xludf.DUMMYFUNCTION("""COMPUTED_VALUE"""),64951.0)</f>
        <v>64951</v>
      </c>
      <c r="I1010" s="7">
        <f>IFERROR(__xludf.DUMMYFUNCTION("""COMPUTED_VALUE"""),44817.0)</f>
        <v>44817</v>
      </c>
      <c r="J1010" s="7">
        <f>IFERROR(__xludf.DUMMYFUNCTION("""COMPUTED_VALUE"""),44822.0)</f>
        <v>44822</v>
      </c>
      <c r="K1010" s="5" t="str">
        <f>IFERROR(__xludf.DUMMYFUNCTION("""COMPUTED_VALUE"""),"high-income")</f>
        <v>high-income</v>
      </c>
      <c r="L1010" s="5" t="str">
        <f>IFERROR(__xludf.DUMMYFUNCTION("""COMPUTED_VALUE"""),"Marshall Islands")</f>
        <v>Marshall Islands</v>
      </c>
      <c r="M1010" s="5" t="str">
        <f>IFERROR(__xludf.DUMMYFUNCTION("""COMPUTED_VALUE"""),"Middle East &amp; North Africa")</f>
        <v>Middle East &amp; North Africa</v>
      </c>
      <c r="N1010" s="5" t="str">
        <f>IFERROR(__xludf.DUMMYFUNCTION("""COMPUTED_VALUE"""),"Western Europe and Others")</f>
        <v>Western Europe and Others</v>
      </c>
      <c r="O1010" s="5" t="str">
        <f>IFERROR(__xludf.DUMMYFUNCTION("""COMPUTED_VALUE"""),"developed")</f>
        <v>developed</v>
      </c>
      <c r="P1010" s="5"/>
      <c r="Q1010" s="5"/>
    </row>
    <row r="1011">
      <c r="A1011" s="5" t="str">
        <f>IFERROR(__xludf.DUMMYFUNCTION("""COMPUTED_VALUE"""),"Outbound")</f>
        <v>Outbound</v>
      </c>
      <c r="B1011" s="5">
        <f>IFERROR(__xludf.DUMMYFUNCTION("""COMPUTED_VALUE"""),123.0)</f>
        <v>123</v>
      </c>
      <c r="C1011" s="5" t="str">
        <f>IFERROR(__xludf.DUMMYFUNCTION("""COMPUTED_VALUE"""),"SUPER SAKA")</f>
        <v>SUPER SAKA</v>
      </c>
      <c r="D1011" s="5">
        <f>IFERROR(__xludf.DUMMYFUNCTION("""COMPUTED_VALUE"""),9456551.0)</f>
        <v>9456551</v>
      </c>
      <c r="E1011" s="5" t="str">
        <f>IFERROR(__xludf.DUMMYFUNCTION("""COMPUTED_VALUE"""),"Odesa")</f>
        <v>Odesa</v>
      </c>
      <c r="F1011" s="5" t="str">
        <f>IFERROR(__xludf.DUMMYFUNCTION("""COMPUTED_VALUE"""),"Spain")</f>
        <v>Spain</v>
      </c>
      <c r="G1011" s="5" t="str">
        <f>IFERROR(__xludf.DUMMYFUNCTION("""COMPUTED_VALUE"""),"Wheat")</f>
        <v>Wheat</v>
      </c>
      <c r="H1011" s="6">
        <f>IFERROR(__xludf.DUMMYFUNCTION("""COMPUTED_VALUE"""),29000.0)</f>
        <v>29000</v>
      </c>
      <c r="I1011" s="7">
        <f>IFERROR(__xludf.DUMMYFUNCTION("""COMPUTED_VALUE"""),44817.0)</f>
        <v>44817</v>
      </c>
      <c r="J1011" s="7">
        <f>IFERROR(__xludf.DUMMYFUNCTION("""COMPUTED_VALUE"""),44822.0)</f>
        <v>44822</v>
      </c>
      <c r="K1011" s="5" t="str">
        <f>IFERROR(__xludf.DUMMYFUNCTION("""COMPUTED_VALUE"""),"high-income")</f>
        <v>high-income</v>
      </c>
      <c r="L1011" s="5" t="str">
        <f>IFERROR(__xludf.DUMMYFUNCTION("""COMPUTED_VALUE"""),"Barbados")</f>
        <v>Barbados</v>
      </c>
      <c r="M1011" s="5" t="str">
        <f>IFERROR(__xludf.DUMMYFUNCTION("""COMPUTED_VALUE"""),"Europe &amp; Central Asia")</f>
        <v>Europe &amp; Central Asia</v>
      </c>
      <c r="N1011" s="5" t="str">
        <f>IFERROR(__xludf.DUMMYFUNCTION("""COMPUTED_VALUE"""),"Western Europe and Others")</f>
        <v>Western Europe and Others</v>
      </c>
      <c r="O1011" s="5" t="str">
        <f>IFERROR(__xludf.DUMMYFUNCTION("""COMPUTED_VALUE"""),"developed")</f>
        <v>developed</v>
      </c>
      <c r="P1011" s="5"/>
      <c r="Q1011" s="5"/>
    </row>
    <row r="1012">
      <c r="A1012" s="5" t="str">
        <f>IFERROR(__xludf.DUMMYFUNCTION("""COMPUTED_VALUE"""),"Outbound +")</f>
        <v>Outbound +</v>
      </c>
      <c r="B1012" s="5">
        <f>IFERROR(__xludf.DUMMYFUNCTION("""COMPUTED_VALUE"""),123.0)</f>
        <v>123</v>
      </c>
      <c r="C1012" s="5" t="str">
        <f>IFERROR(__xludf.DUMMYFUNCTION("""COMPUTED_VALUE"""),"SUPER SAKA")</f>
        <v>SUPER SAKA</v>
      </c>
      <c r="D1012" s="5">
        <f>IFERROR(__xludf.DUMMYFUNCTION("""COMPUTED_VALUE"""),9456551.0)</f>
        <v>9456551</v>
      </c>
      <c r="E1012" s="5" t="str">
        <f>IFERROR(__xludf.DUMMYFUNCTION("""COMPUTED_VALUE"""),"Odesa")</f>
        <v>Odesa</v>
      </c>
      <c r="F1012" s="5" t="str">
        <f>IFERROR(__xludf.DUMMYFUNCTION("""COMPUTED_VALUE"""),"Spain")</f>
        <v>Spain</v>
      </c>
      <c r="G1012" s="5" t="str">
        <f>IFERROR(__xludf.DUMMYFUNCTION("""COMPUTED_VALUE"""),"Corn")</f>
        <v>Corn</v>
      </c>
      <c r="H1012" s="6">
        <f>IFERROR(__xludf.DUMMYFUNCTION("""COMPUTED_VALUE"""),21000.0)</f>
        <v>21000</v>
      </c>
      <c r="I1012" s="7">
        <f>IFERROR(__xludf.DUMMYFUNCTION("""COMPUTED_VALUE"""),44817.0)</f>
        <v>44817</v>
      </c>
      <c r="J1012" s="7">
        <f>IFERROR(__xludf.DUMMYFUNCTION("""COMPUTED_VALUE"""),44822.0)</f>
        <v>44822</v>
      </c>
      <c r="K1012" s="5" t="str">
        <f>IFERROR(__xludf.DUMMYFUNCTION("""COMPUTED_VALUE"""),"high-income")</f>
        <v>high-income</v>
      </c>
      <c r="L1012" s="5" t="str">
        <f>IFERROR(__xludf.DUMMYFUNCTION("""COMPUTED_VALUE"""),"Barbados")</f>
        <v>Barbados</v>
      </c>
      <c r="M1012" s="5" t="str">
        <f>IFERROR(__xludf.DUMMYFUNCTION("""COMPUTED_VALUE"""),"Europe &amp; Central Asia")</f>
        <v>Europe &amp; Central Asia</v>
      </c>
      <c r="N1012" s="5" t="str">
        <f>IFERROR(__xludf.DUMMYFUNCTION("""COMPUTED_VALUE"""),"Western Europe and Others")</f>
        <v>Western Europe and Others</v>
      </c>
      <c r="O1012" s="5" t="str">
        <f>IFERROR(__xludf.DUMMYFUNCTION("""COMPUTED_VALUE"""),"developed")</f>
        <v>developed</v>
      </c>
      <c r="P1012" s="5"/>
      <c r="Q1012" s="5"/>
    </row>
    <row r="1013">
      <c r="A1013" s="5" t="str">
        <f>IFERROR(__xludf.DUMMYFUNCTION("""COMPUTED_VALUE"""),"Outbound")</f>
        <v>Outbound</v>
      </c>
      <c r="B1013" s="5">
        <f>IFERROR(__xludf.DUMMYFUNCTION("""COMPUTED_VALUE"""),122.0)</f>
        <v>122</v>
      </c>
      <c r="C1013" s="5" t="str">
        <f>IFERROR(__xludf.DUMMYFUNCTION("""COMPUTED_VALUE"""),"WIN SINO")</f>
        <v>WIN SINO</v>
      </c>
      <c r="D1013" s="5">
        <f>IFERROR(__xludf.DUMMYFUNCTION("""COMPUTED_VALUE"""),9278519.0)</f>
        <v>9278519</v>
      </c>
      <c r="E1013" s="5" t="str">
        <f>IFERROR(__xludf.DUMMYFUNCTION("""COMPUTED_VALUE"""),"Yuzhny/Pivdennyi")</f>
        <v>Yuzhny/Pivdennyi</v>
      </c>
      <c r="F1013" s="5" t="str">
        <f>IFERROR(__xludf.DUMMYFUNCTION("""COMPUTED_VALUE"""),"India")</f>
        <v>India</v>
      </c>
      <c r="G1013" s="5" t="str">
        <f>IFERROR(__xludf.DUMMYFUNCTION("""COMPUTED_VALUE"""),"Sunflower oil")</f>
        <v>Sunflower oil</v>
      </c>
      <c r="H1013" s="6">
        <f>IFERROR(__xludf.DUMMYFUNCTION("""COMPUTED_VALUE"""),43500.0)</f>
        <v>43500</v>
      </c>
      <c r="I1013" s="7">
        <f>IFERROR(__xludf.DUMMYFUNCTION("""COMPUTED_VALUE"""),44816.0)</f>
        <v>44816</v>
      </c>
      <c r="J1013" s="7">
        <f>IFERROR(__xludf.DUMMYFUNCTION("""COMPUTED_VALUE"""),44821.0)</f>
        <v>44821</v>
      </c>
      <c r="K1013" s="5" t="str">
        <f>IFERROR(__xludf.DUMMYFUNCTION("""COMPUTED_VALUE"""),"lower-middle income")</f>
        <v>lower-middle income</v>
      </c>
      <c r="L1013" s="5" t="str">
        <f>IFERROR(__xludf.DUMMYFUNCTION("""COMPUTED_VALUE"""),"Hong Kong")</f>
        <v>Hong Kong</v>
      </c>
      <c r="M1013" s="5" t="str">
        <f>IFERROR(__xludf.DUMMYFUNCTION("""COMPUTED_VALUE"""),"South Asia")</f>
        <v>South Asia</v>
      </c>
      <c r="N1013" s="5" t="str">
        <f>IFERROR(__xludf.DUMMYFUNCTION("""COMPUTED_VALUE"""),"Asia-Pacific")</f>
        <v>Asia-Pacific</v>
      </c>
      <c r="O1013" s="5" t="str">
        <f>IFERROR(__xludf.DUMMYFUNCTION("""COMPUTED_VALUE"""),"developing")</f>
        <v>developing</v>
      </c>
      <c r="P1013" s="5"/>
      <c r="Q1013" s="5"/>
    </row>
    <row r="1014">
      <c r="A1014" s="5" t="str">
        <f>IFERROR(__xludf.DUMMYFUNCTION("""COMPUTED_VALUE"""),"Outbound")</f>
        <v>Outbound</v>
      </c>
      <c r="B1014" s="5">
        <f>IFERROR(__xludf.DUMMYFUNCTION("""COMPUTED_VALUE"""),121.0)</f>
        <v>121</v>
      </c>
      <c r="C1014" s="5" t="str">
        <f>IFERROR(__xludf.DUMMYFUNCTION("""COMPUTED_VALUE"""),"HADAR")</f>
        <v>HADAR</v>
      </c>
      <c r="D1014" s="5">
        <f>IFERROR(__xludf.DUMMYFUNCTION("""COMPUTED_VALUE"""),9615028.0)</f>
        <v>9615028</v>
      </c>
      <c r="E1014" s="5" t="str">
        <f>IFERROR(__xludf.DUMMYFUNCTION("""COMPUTED_VALUE"""),"Yuzhny/Pivdennyi")</f>
        <v>Yuzhny/Pivdennyi</v>
      </c>
      <c r="F1014" s="5" t="str">
        <f>IFERROR(__xludf.DUMMYFUNCTION("""COMPUTED_VALUE"""),"Italy")</f>
        <v>Italy</v>
      </c>
      <c r="G1014" s="5" t="str">
        <f>IFERROR(__xludf.DUMMYFUNCTION("""COMPUTED_VALUE"""),"Wheat")</f>
        <v>Wheat</v>
      </c>
      <c r="H1014" s="6">
        <f>IFERROR(__xludf.DUMMYFUNCTION("""COMPUTED_VALUE"""),23500.0)</f>
        <v>23500</v>
      </c>
      <c r="I1014" s="7">
        <f>IFERROR(__xludf.DUMMYFUNCTION("""COMPUTED_VALUE"""),44816.0)</f>
        <v>44816</v>
      </c>
      <c r="J1014" s="7">
        <f>IFERROR(__xludf.DUMMYFUNCTION("""COMPUTED_VALUE"""),44820.0)</f>
        <v>44820</v>
      </c>
      <c r="K1014" s="5" t="str">
        <f>IFERROR(__xludf.DUMMYFUNCTION("""COMPUTED_VALUE"""),"high-income")</f>
        <v>high-income</v>
      </c>
      <c r="L1014" s="5" t="str">
        <f>IFERROR(__xludf.DUMMYFUNCTION("""COMPUTED_VALUE"""),"Liberia")</f>
        <v>Liberia</v>
      </c>
      <c r="M1014" s="5" t="str">
        <f>IFERROR(__xludf.DUMMYFUNCTION("""COMPUTED_VALUE"""),"Europe &amp; Central Asia")</f>
        <v>Europe &amp; Central Asia</v>
      </c>
      <c r="N1014" s="5" t="str">
        <f>IFERROR(__xludf.DUMMYFUNCTION("""COMPUTED_VALUE"""),"Western Europe and Others")</f>
        <v>Western Europe and Others</v>
      </c>
      <c r="O1014" s="5" t="str">
        <f>IFERROR(__xludf.DUMMYFUNCTION("""COMPUTED_VALUE"""),"developed")</f>
        <v>developed</v>
      </c>
      <c r="P1014" s="5"/>
      <c r="Q1014" s="5"/>
    </row>
    <row r="1015">
      <c r="A1015" s="5" t="str">
        <f>IFERROR(__xludf.DUMMYFUNCTION("""COMPUTED_VALUE"""),"Outbound +")</f>
        <v>Outbound +</v>
      </c>
      <c r="B1015" s="5">
        <f>IFERROR(__xludf.DUMMYFUNCTION("""COMPUTED_VALUE"""),121.0)</f>
        <v>121</v>
      </c>
      <c r="C1015" s="5" t="str">
        <f>IFERROR(__xludf.DUMMYFUNCTION("""COMPUTED_VALUE"""),"HADAR")</f>
        <v>HADAR</v>
      </c>
      <c r="D1015" s="5">
        <f>IFERROR(__xludf.DUMMYFUNCTION("""COMPUTED_VALUE"""),9615028.0)</f>
        <v>9615028</v>
      </c>
      <c r="E1015" s="5" t="str">
        <f>IFERROR(__xludf.DUMMYFUNCTION("""COMPUTED_VALUE"""),"Yuzhny/Pivdennyi")</f>
        <v>Yuzhny/Pivdennyi</v>
      </c>
      <c r="F1015" s="5" t="str">
        <f>IFERROR(__xludf.DUMMYFUNCTION("""COMPUTED_VALUE"""),"Italy")</f>
        <v>Italy</v>
      </c>
      <c r="G1015" s="5" t="str">
        <f>IFERROR(__xludf.DUMMYFUNCTION("""COMPUTED_VALUE"""),"Corn")</f>
        <v>Corn</v>
      </c>
      <c r="H1015" s="6">
        <f>IFERROR(__xludf.DUMMYFUNCTION("""COMPUTED_VALUE"""),3500.0)</f>
        <v>3500</v>
      </c>
      <c r="I1015" s="7">
        <f>IFERROR(__xludf.DUMMYFUNCTION("""COMPUTED_VALUE"""),44816.0)</f>
        <v>44816</v>
      </c>
      <c r="J1015" s="7">
        <f>IFERROR(__xludf.DUMMYFUNCTION("""COMPUTED_VALUE"""),44820.0)</f>
        <v>44820</v>
      </c>
      <c r="K1015" s="5" t="str">
        <f>IFERROR(__xludf.DUMMYFUNCTION("""COMPUTED_VALUE"""),"high-income")</f>
        <v>high-income</v>
      </c>
      <c r="L1015" s="5" t="str">
        <f>IFERROR(__xludf.DUMMYFUNCTION("""COMPUTED_VALUE"""),"Liberia")</f>
        <v>Liberia</v>
      </c>
      <c r="M1015" s="5" t="str">
        <f>IFERROR(__xludf.DUMMYFUNCTION("""COMPUTED_VALUE"""),"Europe &amp; Central Asia")</f>
        <v>Europe &amp; Central Asia</v>
      </c>
      <c r="N1015" s="5" t="str">
        <f>IFERROR(__xludf.DUMMYFUNCTION("""COMPUTED_VALUE"""),"Western Europe and Others")</f>
        <v>Western Europe and Others</v>
      </c>
      <c r="O1015" s="5" t="str">
        <f>IFERROR(__xludf.DUMMYFUNCTION("""COMPUTED_VALUE"""),"developed")</f>
        <v>developed</v>
      </c>
      <c r="P1015" s="5"/>
      <c r="Q1015" s="5"/>
    </row>
    <row r="1016">
      <c r="A1016" s="5" t="str">
        <f>IFERROR(__xludf.DUMMYFUNCTION("""COMPUTED_VALUE"""),"Outbound")</f>
        <v>Outbound</v>
      </c>
      <c r="B1016" s="5">
        <f>IFERROR(__xludf.DUMMYFUNCTION("""COMPUTED_VALUE"""),120.0)</f>
        <v>120</v>
      </c>
      <c r="C1016" s="5" t="str">
        <f>IFERROR(__xludf.DUMMYFUNCTION("""COMPUTED_VALUE"""),"ORIS SOFI")</f>
        <v>ORIS SOFI</v>
      </c>
      <c r="D1016" s="5">
        <f>IFERROR(__xludf.DUMMYFUNCTION("""COMPUTED_VALUE"""),8920282.0)</f>
        <v>8920282</v>
      </c>
      <c r="E1016" s="5" t="str">
        <f>IFERROR(__xludf.DUMMYFUNCTION("""COMPUTED_VALUE"""),"Odesa")</f>
        <v>Odesa</v>
      </c>
      <c r="F1016" s="5" t="str">
        <f>IFERROR(__xludf.DUMMYFUNCTION("""COMPUTED_VALUE"""),"Türkiye")</f>
        <v>Türkiye</v>
      </c>
      <c r="G1016" s="5" t="str">
        <f>IFERROR(__xludf.DUMMYFUNCTION("""COMPUTED_VALUE"""),"Sunflower oil")</f>
        <v>Sunflower oil</v>
      </c>
      <c r="H1016" s="6">
        <f>IFERROR(__xludf.DUMMYFUNCTION("""COMPUTED_VALUE"""),3025.84)</f>
        <v>3025.84</v>
      </c>
      <c r="I1016" s="7">
        <f>IFERROR(__xludf.DUMMYFUNCTION("""COMPUTED_VALUE"""),44816.0)</f>
        <v>44816</v>
      </c>
      <c r="J1016" s="7">
        <f>IFERROR(__xludf.DUMMYFUNCTION("""COMPUTED_VALUE"""),44819.0)</f>
        <v>44819</v>
      </c>
      <c r="K1016" s="5" t="str">
        <f>IFERROR(__xludf.DUMMYFUNCTION("""COMPUTED_VALUE"""),"upper-middle-income")</f>
        <v>upper-middle-income</v>
      </c>
      <c r="L1016" s="5" t="str">
        <f>IFERROR(__xludf.DUMMYFUNCTION("""COMPUTED_VALUE"""),"Panama")</f>
        <v>Panama</v>
      </c>
      <c r="M1016" s="5" t="str">
        <f>IFERROR(__xludf.DUMMYFUNCTION("""COMPUTED_VALUE"""),"Europe &amp; Central Asia")</f>
        <v>Europe &amp; Central Asia</v>
      </c>
      <c r="N1016" s="5" t="str">
        <f>IFERROR(__xludf.DUMMYFUNCTION("""COMPUTED_VALUE"""),"Asia-Pacific")</f>
        <v>Asia-Pacific</v>
      </c>
      <c r="O1016" s="5" t="str">
        <f>IFERROR(__xludf.DUMMYFUNCTION("""COMPUTED_VALUE"""),"developing")</f>
        <v>developing</v>
      </c>
      <c r="P1016" s="5"/>
      <c r="Q1016" s="5"/>
    </row>
    <row r="1017">
      <c r="A1017" s="5" t="str">
        <f>IFERROR(__xludf.DUMMYFUNCTION("""COMPUTED_VALUE"""),"Outbound +")</f>
        <v>Outbound +</v>
      </c>
      <c r="B1017" s="5">
        <f>IFERROR(__xludf.DUMMYFUNCTION("""COMPUTED_VALUE"""),120.0)</f>
        <v>120</v>
      </c>
      <c r="C1017" s="5" t="str">
        <f>IFERROR(__xludf.DUMMYFUNCTION("""COMPUTED_VALUE"""),"ORIS SOFI")</f>
        <v>ORIS SOFI</v>
      </c>
      <c r="D1017" s="5">
        <f>IFERROR(__xludf.DUMMYFUNCTION("""COMPUTED_VALUE"""),8920282.0)</f>
        <v>8920282</v>
      </c>
      <c r="E1017" s="5" t="str">
        <f>IFERROR(__xludf.DUMMYFUNCTION("""COMPUTED_VALUE"""),"Odesa")</f>
        <v>Odesa</v>
      </c>
      <c r="F1017" s="5" t="str">
        <f>IFERROR(__xludf.DUMMYFUNCTION("""COMPUTED_VALUE"""),"Lebanon")</f>
        <v>Lebanon</v>
      </c>
      <c r="G1017" s="5" t="str">
        <f>IFERROR(__xludf.DUMMYFUNCTION("""COMPUTED_VALUE"""),"Sunflower oil")</f>
        <v>Sunflower oil</v>
      </c>
      <c r="H1017" s="6">
        <f>IFERROR(__xludf.DUMMYFUNCTION("""COMPUTED_VALUE"""),2972.91)</f>
        <v>2972.91</v>
      </c>
      <c r="I1017" s="7">
        <f>IFERROR(__xludf.DUMMYFUNCTION("""COMPUTED_VALUE"""),44816.0)</f>
        <v>44816</v>
      </c>
      <c r="J1017" s="7">
        <f>IFERROR(__xludf.DUMMYFUNCTION("""COMPUTED_VALUE"""),44819.0)</f>
        <v>44819</v>
      </c>
      <c r="K1017" s="5" t="str">
        <f>IFERROR(__xludf.DUMMYFUNCTION("""COMPUTED_VALUE"""),"lower-middle income")</f>
        <v>lower-middle income</v>
      </c>
      <c r="L1017" s="5" t="str">
        <f>IFERROR(__xludf.DUMMYFUNCTION("""COMPUTED_VALUE"""),"Panama")</f>
        <v>Panama</v>
      </c>
      <c r="M1017" s="5" t="str">
        <f>IFERROR(__xludf.DUMMYFUNCTION("""COMPUTED_VALUE"""),"Middle East &amp; North Africa")</f>
        <v>Middle East &amp; North Africa</v>
      </c>
      <c r="N1017" s="5" t="str">
        <f>IFERROR(__xludf.DUMMYFUNCTION("""COMPUTED_VALUE"""),"Asia-Pacific")</f>
        <v>Asia-Pacific</v>
      </c>
      <c r="O1017" s="5" t="str">
        <f>IFERROR(__xludf.DUMMYFUNCTION("""COMPUTED_VALUE"""),"developing")</f>
        <v>developing</v>
      </c>
      <c r="P1017" s="5"/>
      <c r="Q1017" s="5"/>
    </row>
    <row r="1018">
      <c r="A1018" s="5" t="str">
        <f>IFERROR(__xludf.DUMMYFUNCTION("""COMPUTED_VALUE"""),"Outbound")</f>
        <v>Outbound</v>
      </c>
      <c r="B1018" s="5">
        <f>IFERROR(__xludf.DUMMYFUNCTION("""COMPUTED_VALUE"""),119.0)</f>
        <v>119</v>
      </c>
      <c r="C1018" s="5" t="str">
        <f>IFERROR(__xludf.DUMMYFUNCTION("""COMPUTED_VALUE"""),"NORD STARK")</f>
        <v>NORD STARK</v>
      </c>
      <c r="D1018" s="5">
        <f>IFERROR(__xludf.DUMMYFUNCTION("""COMPUTED_VALUE"""),9691591.0)</f>
        <v>9691591</v>
      </c>
      <c r="E1018" s="5" t="str">
        <f>IFERROR(__xludf.DUMMYFUNCTION("""COMPUTED_VALUE"""),"Chornomorsk")</f>
        <v>Chornomorsk</v>
      </c>
      <c r="F1018" s="5" t="str">
        <f>IFERROR(__xludf.DUMMYFUNCTION("""COMPUTED_VALUE"""),"Spain")</f>
        <v>Spain</v>
      </c>
      <c r="G1018" s="5" t="str">
        <f>IFERROR(__xludf.DUMMYFUNCTION("""COMPUTED_VALUE"""),"Wheat")</f>
        <v>Wheat</v>
      </c>
      <c r="H1018" s="6">
        <f>IFERROR(__xludf.DUMMYFUNCTION("""COMPUTED_VALUE"""),27500.0)</f>
        <v>27500</v>
      </c>
      <c r="I1018" s="7">
        <f>IFERROR(__xludf.DUMMYFUNCTION("""COMPUTED_VALUE"""),44816.0)</f>
        <v>44816</v>
      </c>
      <c r="J1018" s="7">
        <f>IFERROR(__xludf.DUMMYFUNCTION("""COMPUTED_VALUE"""),44821.0)</f>
        <v>44821</v>
      </c>
      <c r="K1018" s="5" t="str">
        <f>IFERROR(__xludf.DUMMYFUNCTION("""COMPUTED_VALUE"""),"high-income")</f>
        <v>high-income</v>
      </c>
      <c r="L1018" s="5" t="str">
        <f>IFERROR(__xludf.DUMMYFUNCTION("""COMPUTED_VALUE"""),"Barbados")</f>
        <v>Barbados</v>
      </c>
      <c r="M1018" s="5" t="str">
        <f>IFERROR(__xludf.DUMMYFUNCTION("""COMPUTED_VALUE"""),"Europe &amp; Central Asia")</f>
        <v>Europe &amp; Central Asia</v>
      </c>
      <c r="N1018" s="5" t="str">
        <f>IFERROR(__xludf.DUMMYFUNCTION("""COMPUTED_VALUE"""),"Western Europe and Others")</f>
        <v>Western Europe and Others</v>
      </c>
      <c r="O1018" s="5" t="str">
        <f>IFERROR(__xludf.DUMMYFUNCTION("""COMPUTED_VALUE"""),"developed")</f>
        <v>developed</v>
      </c>
      <c r="P1018" s="5"/>
      <c r="Q1018" s="5"/>
    </row>
    <row r="1019">
      <c r="A1019" s="5" t="str">
        <f>IFERROR(__xludf.DUMMYFUNCTION("""COMPUTED_VALUE"""),"Outbound")</f>
        <v>Outbound</v>
      </c>
      <c r="B1019" s="5">
        <f>IFERROR(__xludf.DUMMYFUNCTION("""COMPUTED_VALUE"""),118.0)</f>
        <v>118</v>
      </c>
      <c r="C1019" s="5" t="str">
        <f>IFERROR(__xludf.DUMMYFUNCTION("""COMPUTED_VALUE"""),"SALLY M")</f>
        <v>SALLY M</v>
      </c>
      <c r="D1019" s="5">
        <f>IFERROR(__xludf.DUMMYFUNCTION("""COMPUTED_VALUE"""),9152844.0)</f>
        <v>9152844</v>
      </c>
      <c r="E1019" s="5" t="str">
        <f>IFERROR(__xludf.DUMMYFUNCTION("""COMPUTED_VALUE"""),"Chornomorsk")</f>
        <v>Chornomorsk</v>
      </c>
      <c r="F1019" s="5" t="str">
        <f>IFERROR(__xludf.DUMMYFUNCTION("""COMPUTED_VALUE"""),"Lebanon")</f>
        <v>Lebanon</v>
      </c>
      <c r="G1019" s="5" t="str">
        <f>IFERROR(__xludf.DUMMYFUNCTION("""COMPUTED_VALUE"""),"Corn")</f>
        <v>Corn</v>
      </c>
      <c r="H1019" s="6">
        <f>IFERROR(__xludf.DUMMYFUNCTION("""COMPUTED_VALUE"""),6857.0)</f>
        <v>6857</v>
      </c>
      <c r="I1019" s="7">
        <f>IFERROR(__xludf.DUMMYFUNCTION("""COMPUTED_VALUE"""),44816.0)</f>
        <v>44816</v>
      </c>
      <c r="J1019" s="7">
        <f>IFERROR(__xludf.DUMMYFUNCTION("""COMPUTED_VALUE"""),44821.0)</f>
        <v>44821</v>
      </c>
      <c r="K1019" s="5" t="str">
        <f>IFERROR(__xludf.DUMMYFUNCTION("""COMPUTED_VALUE"""),"lower-middle income")</f>
        <v>lower-middle income</v>
      </c>
      <c r="L1019" s="5" t="str">
        <f>IFERROR(__xludf.DUMMYFUNCTION("""COMPUTED_VALUE"""),"Panama")</f>
        <v>Panama</v>
      </c>
      <c r="M1019" s="5" t="str">
        <f>IFERROR(__xludf.DUMMYFUNCTION("""COMPUTED_VALUE"""),"Middle East &amp; North Africa")</f>
        <v>Middle East &amp; North Africa</v>
      </c>
      <c r="N1019" s="5" t="str">
        <f>IFERROR(__xludf.DUMMYFUNCTION("""COMPUTED_VALUE"""),"Asia-Pacific")</f>
        <v>Asia-Pacific</v>
      </c>
      <c r="O1019" s="5" t="str">
        <f>IFERROR(__xludf.DUMMYFUNCTION("""COMPUTED_VALUE"""),"developing")</f>
        <v>developing</v>
      </c>
      <c r="P1019" s="5"/>
      <c r="Q1019" s="5"/>
    </row>
    <row r="1020">
      <c r="A1020" s="5" t="str">
        <f>IFERROR(__xludf.DUMMYFUNCTION("""COMPUTED_VALUE"""),"Outbound")</f>
        <v>Outbound</v>
      </c>
      <c r="B1020" s="5">
        <f>IFERROR(__xludf.DUMMYFUNCTION("""COMPUTED_VALUE"""),117.0)</f>
        <v>117</v>
      </c>
      <c r="C1020" s="5" t="str">
        <f>IFERROR(__xludf.DUMMYFUNCTION("""COMPUTED_VALUE"""),"AHMET CAN")</f>
        <v>AHMET CAN</v>
      </c>
      <c r="D1020" s="5">
        <f>IFERROR(__xludf.DUMMYFUNCTION("""COMPUTED_VALUE"""),9368182.0)</f>
        <v>9368182</v>
      </c>
      <c r="E1020" s="5" t="str">
        <f>IFERROR(__xludf.DUMMYFUNCTION("""COMPUTED_VALUE"""),"Chornomorsk")</f>
        <v>Chornomorsk</v>
      </c>
      <c r="F1020" s="5" t="str">
        <f>IFERROR(__xludf.DUMMYFUNCTION("""COMPUTED_VALUE"""),"Türkiye")</f>
        <v>Türkiye</v>
      </c>
      <c r="G1020" s="5" t="str">
        <f>IFERROR(__xludf.DUMMYFUNCTION("""COMPUTED_VALUE"""),"Wheat bran pellets")</f>
        <v>Wheat bran pellets</v>
      </c>
      <c r="H1020" s="6">
        <f>IFERROR(__xludf.DUMMYFUNCTION("""COMPUTED_VALUE"""),2800.0)</f>
        <v>2800</v>
      </c>
      <c r="I1020" s="7">
        <f>IFERROR(__xludf.DUMMYFUNCTION("""COMPUTED_VALUE"""),44816.0)</f>
        <v>44816</v>
      </c>
      <c r="J1020" s="7">
        <f>IFERROR(__xludf.DUMMYFUNCTION("""COMPUTED_VALUE"""),44820.0)</f>
        <v>44820</v>
      </c>
      <c r="K1020" s="5" t="str">
        <f>IFERROR(__xludf.DUMMYFUNCTION("""COMPUTED_VALUE"""),"upper-middle-income")</f>
        <v>upper-middle-income</v>
      </c>
      <c r="L1020" s="5" t="str">
        <f>IFERROR(__xludf.DUMMYFUNCTION("""COMPUTED_VALUE"""),"Panama")</f>
        <v>Panama</v>
      </c>
      <c r="M1020" s="5" t="str">
        <f>IFERROR(__xludf.DUMMYFUNCTION("""COMPUTED_VALUE"""),"Europe &amp; Central Asia")</f>
        <v>Europe &amp; Central Asia</v>
      </c>
      <c r="N1020" s="5" t="str">
        <f>IFERROR(__xludf.DUMMYFUNCTION("""COMPUTED_VALUE"""),"Asia-Pacific")</f>
        <v>Asia-Pacific</v>
      </c>
      <c r="O1020" s="5" t="str">
        <f>IFERROR(__xludf.DUMMYFUNCTION("""COMPUTED_VALUE"""),"developing")</f>
        <v>developing</v>
      </c>
      <c r="P1020" s="5"/>
      <c r="Q1020" s="5"/>
    </row>
    <row r="1021">
      <c r="A1021" s="5" t="str">
        <f>IFERROR(__xludf.DUMMYFUNCTION("""COMPUTED_VALUE"""),"Outbound")</f>
        <v>Outbound</v>
      </c>
      <c r="B1021" s="5">
        <f>IFERROR(__xludf.DUMMYFUNCTION("""COMPUTED_VALUE"""),116.0)</f>
        <v>116</v>
      </c>
      <c r="C1021" s="5" t="str">
        <f>IFERROR(__xludf.DUMMYFUNCTION("""COMPUTED_VALUE"""),"S-BRILLIANT")</f>
        <v>S-BRILLIANT</v>
      </c>
      <c r="D1021" s="5">
        <f>IFERROR(__xludf.DUMMYFUNCTION("""COMPUTED_VALUE"""),9275323.0)</f>
        <v>9275323</v>
      </c>
      <c r="E1021" s="5" t="str">
        <f>IFERROR(__xludf.DUMMYFUNCTION("""COMPUTED_VALUE"""),"Chornomorsk")</f>
        <v>Chornomorsk</v>
      </c>
      <c r="F1021" s="5" t="str">
        <f>IFERROR(__xludf.DUMMYFUNCTION("""COMPUTED_VALUE"""),"The Netherlands")</f>
        <v>The Netherlands</v>
      </c>
      <c r="G1021" s="5" t="str">
        <f>IFERROR(__xludf.DUMMYFUNCTION("""COMPUTED_VALUE"""),"Rapeseed")</f>
        <v>Rapeseed</v>
      </c>
      <c r="H1021" s="6">
        <f>IFERROR(__xludf.DUMMYFUNCTION("""COMPUTED_VALUE"""),40220.0)</f>
        <v>40220</v>
      </c>
      <c r="I1021" s="7">
        <f>IFERROR(__xludf.DUMMYFUNCTION("""COMPUTED_VALUE"""),44815.0)</f>
        <v>44815</v>
      </c>
      <c r="J1021" s="7">
        <f>IFERROR(__xludf.DUMMYFUNCTION("""COMPUTED_VALUE"""),44819.0)</f>
        <v>44819</v>
      </c>
      <c r="K1021" s="5" t="str">
        <f>IFERROR(__xludf.DUMMYFUNCTION("""COMPUTED_VALUE"""),"high-income")</f>
        <v>high-income</v>
      </c>
      <c r="L1021" s="5" t="str">
        <f>IFERROR(__xludf.DUMMYFUNCTION("""COMPUTED_VALUE"""),"Liberia")</f>
        <v>Liberia</v>
      </c>
      <c r="M1021" s="5" t="str">
        <f>IFERROR(__xludf.DUMMYFUNCTION("""COMPUTED_VALUE"""),"Europe &amp; Central Asia")</f>
        <v>Europe &amp; Central Asia</v>
      </c>
      <c r="N1021" s="5" t="str">
        <f>IFERROR(__xludf.DUMMYFUNCTION("""COMPUTED_VALUE"""),"Western Europe and Others")</f>
        <v>Western Europe and Others</v>
      </c>
      <c r="O1021" s="5" t="str">
        <f>IFERROR(__xludf.DUMMYFUNCTION("""COMPUTED_VALUE"""),"developed")</f>
        <v>developed</v>
      </c>
      <c r="P1021" s="5"/>
      <c r="Q1021" s="5"/>
    </row>
    <row r="1022">
      <c r="A1022" s="5" t="str">
        <f>IFERROR(__xludf.DUMMYFUNCTION("""COMPUTED_VALUE"""),"Outbound")</f>
        <v>Outbound</v>
      </c>
      <c r="B1022" s="5">
        <f>IFERROR(__xludf.DUMMYFUNCTION("""COMPUTED_VALUE"""),115.0)</f>
        <v>115</v>
      </c>
      <c r="C1022" s="5" t="str">
        <f>IFERROR(__xludf.DUMMYFUNCTION("""COMPUTED_VALUE"""),"MAGNOLIA")</f>
        <v>MAGNOLIA</v>
      </c>
      <c r="D1022" s="5">
        <f>IFERROR(__xludf.DUMMYFUNCTION("""COMPUTED_VALUE"""),9575333.0)</f>
        <v>9575333</v>
      </c>
      <c r="E1022" s="5" t="str">
        <f>IFERROR(__xludf.DUMMYFUNCTION("""COMPUTED_VALUE"""),"Chornomorsk")</f>
        <v>Chornomorsk</v>
      </c>
      <c r="F1022" s="5" t="str">
        <f>IFERROR(__xludf.DUMMYFUNCTION("""COMPUTED_VALUE"""),"Türkiye")</f>
        <v>Türkiye</v>
      </c>
      <c r="G1022" s="5" t="str">
        <f>IFERROR(__xludf.DUMMYFUNCTION("""COMPUTED_VALUE"""),"Sunflower oil")</f>
        <v>Sunflower oil</v>
      </c>
      <c r="H1022" s="6">
        <f>IFERROR(__xludf.DUMMYFUNCTION("""COMPUTED_VALUE"""),6600.0)</f>
        <v>6600</v>
      </c>
      <c r="I1022" s="7">
        <f>IFERROR(__xludf.DUMMYFUNCTION("""COMPUTED_VALUE"""),44815.0)</f>
        <v>44815</v>
      </c>
      <c r="J1022" s="7">
        <f>IFERROR(__xludf.DUMMYFUNCTION("""COMPUTED_VALUE"""),44820.0)</f>
        <v>44820</v>
      </c>
      <c r="K1022" s="5" t="str">
        <f>IFERROR(__xludf.DUMMYFUNCTION("""COMPUTED_VALUE"""),"upper-middle-income")</f>
        <v>upper-middle-income</v>
      </c>
      <c r="L1022" s="5" t="str">
        <f>IFERROR(__xludf.DUMMYFUNCTION("""COMPUTED_VALUE"""),"Liberia")</f>
        <v>Liberia</v>
      </c>
      <c r="M1022" s="5" t="str">
        <f>IFERROR(__xludf.DUMMYFUNCTION("""COMPUTED_VALUE"""),"Europe &amp; Central Asia")</f>
        <v>Europe &amp; Central Asia</v>
      </c>
      <c r="N1022" s="5" t="str">
        <f>IFERROR(__xludf.DUMMYFUNCTION("""COMPUTED_VALUE"""),"Asia-Pacific")</f>
        <v>Asia-Pacific</v>
      </c>
      <c r="O1022" s="5" t="str">
        <f>IFERROR(__xludf.DUMMYFUNCTION("""COMPUTED_VALUE"""),"developing")</f>
        <v>developing</v>
      </c>
      <c r="P1022" s="5"/>
      <c r="Q1022" s="5"/>
    </row>
    <row r="1023">
      <c r="A1023" s="5" t="str">
        <f>IFERROR(__xludf.DUMMYFUNCTION("""COMPUTED_VALUE"""),"Outbound")</f>
        <v>Outbound</v>
      </c>
      <c r="B1023" s="5">
        <f>IFERROR(__xludf.DUMMYFUNCTION("""COMPUTED_VALUE"""),114.0)</f>
        <v>114</v>
      </c>
      <c r="C1023" s="5" t="str">
        <f>IFERROR(__xludf.DUMMYFUNCTION("""COMPUTED_VALUE"""),"BRIZA")</f>
        <v>BRIZA</v>
      </c>
      <c r="D1023" s="5">
        <f>IFERROR(__xludf.DUMMYFUNCTION("""COMPUTED_VALUE"""),9286815.0)</f>
        <v>9286815</v>
      </c>
      <c r="E1023" s="5" t="str">
        <f>IFERROR(__xludf.DUMMYFUNCTION("""COMPUTED_VALUE"""),"Chornomorsk")</f>
        <v>Chornomorsk</v>
      </c>
      <c r="F1023" s="5" t="str">
        <f>IFERROR(__xludf.DUMMYFUNCTION("""COMPUTED_VALUE"""),"Greece")</f>
        <v>Greece</v>
      </c>
      <c r="G1023" s="5" t="str">
        <f>IFERROR(__xludf.DUMMYFUNCTION("""COMPUTED_VALUE"""),"Corn")</f>
        <v>Corn</v>
      </c>
      <c r="H1023" s="6">
        <f>IFERROR(__xludf.DUMMYFUNCTION("""COMPUTED_VALUE"""),6500.0)</f>
        <v>6500</v>
      </c>
      <c r="I1023" s="7">
        <f>IFERROR(__xludf.DUMMYFUNCTION("""COMPUTED_VALUE"""),44815.0)</f>
        <v>44815</v>
      </c>
      <c r="J1023" s="7">
        <f>IFERROR(__xludf.DUMMYFUNCTION("""COMPUTED_VALUE"""),44819.0)</f>
        <v>44819</v>
      </c>
      <c r="K1023" s="5" t="str">
        <f>IFERROR(__xludf.DUMMYFUNCTION("""COMPUTED_VALUE"""),"high-income")</f>
        <v>high-income</v>
      </c>
      <c r="L1023" s="5" t="str">
        <f>IFERROR(__xludf.DUMMYFUNCTION("""COMPUTED_VALUE"""),"Cook Islands")</f>
        <v>Cook Islands</v>
      </c>
      <c r="M1023" s="5" t="str">
        <f>IFERROR(__xludf.DUMMYFUNCTION("""COMPUTED_VALUE"""),"Europe &amp; Central Asia")</f>
        <v>Europe &amp; Central Asia</v>
      </c>
      <c r="N1023" s="5" t="str">
        <f>IFERROR(__xludf.DUMMYFUNCTION("""COMPUTED_VALUE"""),"Western Europe and Others")</f>
        <v>Western Europe and Others</v>
      </c>
      <c r="O1023" s="5" t="str">
        <f>IFERROR(__xludf.DUMMYFUNCTION("""COMPUTED_VALUE"""),"developed")</f>
        <v>developed</v>
      </c>
      <c r="P1023" s="5"/>
      <c r="Q1023" s="5"/>
    </row>
    <row r="1024">
      <c r="A1024" s="5" t="str">
        <f>IFERROR(__xludf.DUMMYFUNCTION("""COMPUTED_VALUE"""),"Outbound")</f>
        <v>Outbound</v>
      </c>
      <c r="B1024" s="5">
        <f>IFERROR(__xludf.DUMMYFUNCTION("""COMPUTED_VALUE"""),113.0)</f>
        <v>113</v>
      </c>
      <c r="C1024" s="5" t="str">
        <f>IFERROR(__xludf.DUMMYFUNCTION("""COMPUTED_VALUE"""),"LADY SHAM")</f>
        <v>LADY SHAM</v>
      </c>
      <c r="D1024" s="5">
        <f>IFERROR(__xludf.DUMMYFUNCTION("""COMPUTED_VALUE"""),9171383.0)</f>
        <v>9171383</v>
      </c>
      <c r="E1024" s="5" t="str">
        <f>IFERROR(__xludf.DUMMYFUNCTION("""COMPUTED_VALUE"""),"Odesa")</f>
        <v>Odesa</v>
      </c>
      <c r="F1024" s="5" t="str">
        <f>IFERROR(__xludf.DUMMYFUNCTION("""COMPUTED_VALUE"""),"Italy")</f>
        <v>Italy</v>
      </c>
      <c r="G1024" s="5" t="str">
        <f>IFERROR(__xludf.DUMMYFUNCTION("""COMPUTED_VALUE"""),"Sunflower seed")</f>
        <v>Sunflower seed</v>
      </c>
      <c r="H1024" s="6">
        <f>IFERROR(__xludf.DUMMYFUNCTION("""COMPUTED_VALUE"""),5600.0)</f>
        <v>5600</v>
      </c>
      <c r="I1024" s="7">
        <f>IFERROR(__xludf.DUMMYFUNCTION("""COMPUTED_VALUE"""),44814.0)</f>
        <v>44814</v>
      </c>
      <c r="J1024" s="7">
        <f>IFERROR(__xludf.DUMMYFUNCTION("""COMPUTED_VALUE"""),44818.0)</f>
        <v>44818</v>
      </c>
      <c r="K1024" s="5" t="str">
        <f>IFERROR(__xludf.DUMMYFUNCTION("""COMPUTED_VALUE"""),"high-income")</f>
        <v>high-income</v>
      </c>
      <c r="L1024" s="5" t="str">
        <f>IFERROR(__xludf.DUMMYFUNCTION("""COMPUTED_VALUE"""),"Sierra Leone")</f>
        <v>Sierra Leone</v>
      </c>
      <c r="M1024" s="5" t="str">
        <f>IFERROR(__xludf.DUMMYFUNCTION("""COMPUTED_VALUE"""),"Europe &amp; Central Asia")</f>
        <v>Europe &amp; Central Asia</v>
      </c>
      <c r="N1024" s="5" t="str">
        <f>IFERROR(__xludf.DUMMYFUNCTION("""COMPUTED_VALUE"""),"Western Europe and Others")</f>
        <v>Western Europe and Others</v>
      </c>
      <c r="O1024" s="5" t="str">
        <f>IFERROR(__xludf.DUMMYFUNCTION("""COMPUTED_VALUE"""),"developed")</f>
        <v>developed</v>
      </c>
      <c r="P1024" s="5"/>
      <c r="Q1024" s="5"/>
    </row>
    <row r="1025">
      <c r="A1025" s="5" t="str">
        <f>IFERROR(__xludf.DUMMYFUNCTION("""COMPUTED_VALUE"""),"Outbound")</f>
        <v>Outbound</v>
      </c>
      <c r="B1025" s="5">
        <f>IFERROR(__xludf.DUMMYFUNCTION("""COMPUTED_VALUE"""),112.0)</f>
        <v>112</v>
      </c>
      <c r="C1025" s="5" t="str">
        <f>IFERROR(__xludf.DUMMYFUNCTION("""COMPUTED_VALUE"""),"A LINE")</f>
        <v>A LINE</v>
      </c>
      <c r="D1025" s="5">
        <f>IFERROR(__xludf.DUMMYFUNCTION("""COMPUTED_VALUE"""),9246920.0)</f>
        <v>9246920</v>
      </c>
      <c r="E1025" s="5" t="str">
        <f>IFERROR(__xludf.DUMMYFUNCTION("""COMPUTED_VALUE"""),"Chornomorsk")</f>
        <v>Chornomorsk</v>
      </c>
      <c r="F1025" s="5" t="str">
        <f>IFERROR(__xludf.DUMMYFUNCTION("""COMPUTED_VALUE"""),"Egypt")</f>
        <v>Egypt</v>
      </c>
      <c r="G1025" s="5" t="str">
        <f>IFERROR(__xludf.DUMMYFUNCTION("""COMPUTED_VALUE"""),"Corn")</f>
        <v>Corn</v>
      </c>
      <c r="H1025" s="6">
        <f>IFERROR(__xludf.DUMMYFUNCTION("""COMPUTED_VALUE"""),10700.0)</f>
        <v>10700</v>
      </c>
      <c r="I1025" s="7">
        <f>IFERROR(__xludf.DUMMYFUNCTION("""COMPUTED_VALUE"""),44814.0)</f>
        <v>44814</v>
      </c>
      <c r="J1025" s="7">
        <f>IFERROR(__xludf.DUMMYFUNCTION("""COMPUTED_VALUE"""),44817.0)</f>
        <v>44817</v>
      </c>
      <c r="K1025" s="5" t="str">
        <f>IFERROR(__xludf.DUMMYFUNCTION("""COMPUTED_VALUE"""),"lower-middle income")</f>
        <v>lower-middle income</v>
      </c>
      <c r="L1025" s="5" t="str">
        <f>IFERROR(__xludf.DUMMYFUNCTION("""COMPUTED_VALUE"""),"Vanuatu")</f>
        <v>Vanuatu</v>
      </c>
      <c r="M1025" s="5" t="str">
        <f>IFERROR(__xludf.DUMMYFUNCTION("""COMPUTED_VALUE"""),"Middle East &amp; North Africa")</f>
        <v>Middle East &amp; North Africa</v>
      </c>
      <c r="N1025" s="5" t="str">
        <f>IFERROR(__xludf.DUMMYFUNCTION("""COMPUTED_VALUE"""),"Africa")</f>
        <v>Africa</v>
      </c>
      <c r="O1025" s="5" t="str">
        <f>IFERROR(__xludf.DUMMYFUNCTION("""COMPUTED_VALUE"""),"developing")</f>
        <v>developing</v>
      </c>
      <c r="P1025" s="5"/>
      <c r="Q1025" s="5"/>
    </row>
    <row r="1026">
      <c r="A1026" s="5" t="str">
        <f>IFERROR(__xludf.DUMMYFUNCTION("""COMPUTED_VALUE"""),"Outbound")</f>
        <v>Outbound</v>
      </c>
      <c r="B1026" s="5">
        <f>IFERROR(__xludf.DUMMYFUNCTION("""COMPUTED_VALUE"""),111.0)</f>
        <v>111</v>
      </c>
      <c r="C1026" s="5" t="str">
        <f>IFERROR(__xludf.DUMMYFUNCTION("""COMPUTED_VALUE"""),"PRINCESS AMNAH")</f>
        <v>PRINCESS AMNAH</v>
      </c>
      <c r="D1026" s="5">
        <f>IFERROR(__xludf.DUMMYFUNCTION("""COMPUTED_VALUE"""),9008067.0)</f>
        <v>9008067</v>
      </c>
      <c r="E1026" s="5" t="str">
        <f>IFERROR(__xludf.DUMMYFUNCTION("""COMPUTED_VALUE"""),"Chornomorsk")</f>
        <v>Chornomorsk</v>
      </c>
      <c r="F1026" s="5" t="str">
        <f>IFERROR(__xludf.DUMMYFUNCTION("""COMPUTED_VALUE"""),"Italy")</f>
        <v>Italy</v>
      </c>
      <c r="G1026" s="5" t="str">
        <f>IFERROR(__xludf.DUMMYFUNCTION("""COMPUTED_VALUE"""),"Wheat")</f>
        <v>Wheat</v>
      </c>
      <c r="H1026" s="6">
        <f>IFERROR(__xludf.DUMMYFUNCTION("""COMPUTED_VALUE"""),6000.0)</f>
        <v>6000</v>
      </c>
      <c r="I1026" s="7">
        <f>IFERROR(__xludf.DUMMYFUNCTION("""COMPUTED_VALUE"""),44814.0)</f>
        <v>44814</v>
      </c>
      <c r="J1026" s="7">
        <f>IFERROR(__xludf.DUMMYFUNCTION("""COMPUTED_VALUE"""),44817.0)</f>
        <v>44817</v>
      </c>
      <c r="K1026" s="5" t="str">
        <f>IFERROR(__xludf.DUMMYFUNCTION("""COMPUTED_VALUE"""),"high-income")</f>
        <v>high-income</v>
      </c>
      <c r="L1026" s="5" t="str">
        <f>IFERROR(__xludf.DUMMYFUNCTION("""COMPUTED_VALUE"""),"Sierra Leone")</f>
        <v>Sierra Leone</v>
      </c>
      <c r="M1026" s="5" t="str">
        <f>IFERROR(__xludf.DUMMYFUNCTION("""COMPUTED_VALUE"""),"Europe &amp; Central Asia")</f>
        <v>Europe &amp; Central Asia</v>
      </c>
      <c r="N1026" s="5" t="str">
        <f>IFERROR(__xludf.DUMMYFUNCTION("""COMPUTED_VALUE"""),"Western Europe and Others")</f>
        <v>Western Europe and Others</v>
      </c>
      <c r="O1026" s="5" t="str">
        <f>IFERROR(__xludf.DUMMYFUNCTION("""COMPUTED_VALUE"""),"developed")</f>
        <v>developed</v>
      </c>
      <c r="P1026" s="5"/>
      <c r="Q1026" s="5"/>
    </row>
    <row r="1027">
      <c r="A1027" s="5" t="str">
        <f>IFERROR(__xludf.DUMMYFUNCTION("""COMPUTED_VALUE"""),"Outbound")</f>
        <v>Outbound</v>
      </c>
      <c r="B1027" s="5">
        <f>IFERROR(__xludf.DUMMYFUNCTION("""COMPUTED_VALUE"""),110.0)</f>
        <v>110</v>
      </c>
      <c r="C1027" s="5" t="str">
        <f>IFERROR(__xludf.DUMMYFUNCTION("""COMPUTED_VALUE"""),"LUCKY")</f>
        <v>LUCKY</v>
      </c>
      <c r="D1027" s="5">
        <f>IFERROR(__xludf.DUMMYFUNCTION("""COMPUTED_VALUE"""),9037305.0)</f>
        <v>9037305</v>
      </c>
      <c r="E1027" s="5" t="str">
        <f>IFERROR(__xludf.DUMMYFUNCTION("""COMPUTED_VALUE"""),"Yuzhny/Pivdennyi")</f>
        <v>Yuzhny/Pivdennyi</v>
      </c>
      <c r="F1027" s="5" t="str">
        <f>IFERROR(__xludf.DUMMYFUNCTION("""COMPUTED_VALUE"""),"Greece")</f>
        <v>Greece</v>
      </c>
      <c r="G1027" s="5" t="str">
        <f>IFERROR(__xludf.DUMMYFUNCTION("""COMPUTED_VALUE"""),"Corn")</f>
        <v>Corn</v>
      </c>
      <c r="H1027" s="6">
        <f>IFERROR(__xludf.DUMMYFUNCTION("""COMPUTED_VALUE"""),6000.0)</f>
        <v>6000</v>
      </c>
      <c r="I1027" s="7">
        <f>IFERROR(__xludf.DUMMYFUNCTION("""COMPUTED_VALUE"""),44814.0)</f>
        <v>44814</v>
      </c>
      <c r="J1027" s="7">
        <f>IFERROR(__xludf.DUMMYFUNCTION("""COMPUTED_VALUE"""),44818.0)</f>
        <v>44818</v>
      </c>
      <c r="K1027" s="5" t="str">
        <f>IFERROR(__xludf.DUMMYFUNCTION("""COMPUTED_VALUE"""),"high-income")</f>
        <v>high-income</v>
      </c>
      <c r="L1027" s="5" t="str">
        <f>IFERROR(__xludf.DUMMYFUNCTION("""COMPUTED_VALUE"""),"Panama")</f>
        <v>Panama</v>
      </c>
      <c r="M1027" s="5" t="str">
        <f>IFERROR(__xludf.DUMMYFUNCTION("""COMPUTED_VALUE"""),"Europe &amp; Central Asia")</f>
        <v>Europe &amp; Central Asia</v>
      </c>
      <c r="N1027" s="5" t="str">
        <f>IFERROR(__xludf.DUMMYFUNCTION("""COMPUTED_VALUE"""),"Western Europe and Others")</f>
        <v>Western Europe and Others</v>
      </c>
      <c r="O1027" s="5" t="str">
        <f>IFERROR(__xludf.DUMMYFUNCTION("""COMPUTED_VALUE"""),"developed")</f>
        <v>developed</v>
      </c>
      <c r="P1027" s="5"/>
      <c r="Q1027" s="5"/>
    </row>
    <row r="1028">
      <c r="A1028" s="5" t="str">
        <f>IFERROR(__xludf.DUMMYFUNCTION("""COMPUTED_VALUE"""),"Outbound +")</f>
        <v>Outbound +</v>
      </c>
      <c r="B1028" s="5">
        <f>IFERROR(__xludf.DUMMYFUNCTION("""COMPUTED_VALUE"""),110.0)</f>
        <v>110</v>
      </c>
      <c r="C1028" s="5" t="str">
        <f>IFERROR(__xludf.DUMMYFUNCTION("""COMPUTED_VALUE"""),"LUCKY")</f>
        <v>LUCKY</v>
      </c>
      <c r="D1028" s="5">
        <f>IFERROR(__xludf.DUMMYFUNCTION("""COMPUTED_VALUE"""),9037305.0)</f>
        <v>9037305</v>
      </c>
      <c r="E1028" s="5" t="str">
        <f>IFERROR(__xludf.DUMMYFUNCTION("""COMPUTED_VALUE"""),"Yuzhny/Pivdennyi")</f>
        <v>Yuzhny/Pivdennyi</v>
      </c>
      <c r="F1028" s="5" t="str">
        <f>IFERROR(__xludf.DUMMYFUNCTION("""COMPUTED_VALUE"""),"Greece")</f>
        <v>Greece</v>
      </c>
      <c r="G1028" s="5" t="str">
        <f>IFERROR(__xludf.DUMMYFUNCTION("""COMPUTED_VALUE"""),"Barley")</f>
        <v>Barley</v>
      </c>
      <c r="H1028" s="6">
        <f>IFERROR(__xludf.DUMMYFUNCTION("""COMPUTED_VALUE"""),4400.0)</f>
        <v>4400</v>
      </c>
      <c r="I1028" s="7">
        <f>IFERROR(__xludf.DUMMYFUNCTION("""COMPUTED_VALUE"""),44814.0)</f>
        <v>44814</v>
      </c>
      <c r="J1028" s="7">
        <f>IFERROR(__xludf.DUMMYFUNCTION("""COMPUTED_VALUE"""),44818.0)</f>
        <v>44818</v>
      </c>
      <c r="K1028" s="5" t="str">
        <f>IFERROR(__xludf.DUMMYFUNCTION("""COMPUTED_VALUE"""),"high-income")</f>
        <v>high-income</v>
      </c>
      <c r="L1028" s="5" t="str">
        <f>IFERROR(__xludf.DUMMYFUNCTION("""COMPUTED_VALUE"""),"Panama")</f>
        <v>Panama</v>
      </c>
      <c r="M1028" s="5" t="str">
        <f>IFERROR(__xludf.DUMMYFUNCTION("""COMPUTED_VALUE"""),"Europe &amp; Central Asia")</f>
        <v>Europe &amp; Central Asia</v>
      </c>
      <c r="N1028" s="5" t="str">
        <f>IFERROR(__xludf.DUMMYFUNCTION("""COMPUTED_VALUE"""),"Western Europe and Others")</f>
        <v>Western Europe and Others</v>
      </c>
      <c r="O1028" s="5" t="str">
        <f>IFERROR(__xludf.DUMMYFUNCTION("""COMPUTED_VALUE"""),"developed")</f>
        <v>developed</v>
      </c>
      <c r="P1028" s="5"/>
      <c r="Q1028" s="5"/>
    </row>
    <row r="1029">
      <c r="A1029" s="5" t="str">
        <f>IFERROR(__xludf.DUMMYFUNCTION("""COMPUTED_VALUE"""),"Outbound")</f>
        <v>Outbound</v>
      </c>
      <c r="B1029" s="5">
        <f>IFERROR(__xludf.DUMMYFUNCTION("""COMPUTED_VALUE"""),109.0)</f>
        <v>109</v>
      </c>
      <c r="C1029" s="5" t="str">
        <f>IFERROR(__xludf.DUMMYFUNCTION("""COMPUTED_VALUE"""),"EAUBONNE")</f>
        <v>EAUBONNE</v>
      </c>
      <c r="D1029" s="5">
        <f>IFERROR(__xludf.DUMMYFUNCTION("""COMPUTED_VALUE"""),9663104.0)</f>
        <v>9663104</v>
      </c>
      <c r="E1029" s="5" t="str">
        <f>IFERROR(__xludf.DUMMYFUNCTION("""COMPUTED_VALUE"""),"Odesa")</f>
        <v>Odesa</v>
      </c>
      <c r="F1029" s="5" t="str">
        <f>IFERROR(__xludf.DUMMYFUNCTION("""COMPUTED_VALUE"""),"Spain")</f>
        <v>Spain</v>
      </c>
      <c r="G1029" s="5" t="str">
        <f>IFERROR(__xludf.DUMMYFUNCTION("""COMPUTED_VALUE"""),"Corn")</f>
        <v>Corn</v>
      </c>
      <c r="H1029" s="6">
        <f>IFERROR(__xludf.DUMMYFUNCTION("""COMPUTED_VALUE"""),32794.0)</f>
        <v>32794</v>
      </c>
      <c r="I1029" s="7">
        <f>IFERROR(__xludf.DUMMYFUNCTION("""COMPUTED_VALUE"""),44814.0)</f>
        <v>44814</v>
      </c>
      <c r="J1029" s="7">
        <f>IFERROR(__xludf.DUMMYFUNCTION("""COMPUTED_VALUE"""),44820.0)</f>
        <v>44820</v>
      </c>
      <c r="K1029" s="5" t="str">
        <f>IFERROR(__xludf.DUMMYFUNCTION("""COMPUTED_VALUE"""),"high-income")</f>
        <v>high-income</v>
      </c>
      <c r="L1029" s="5" t="str">
        <f>IFERROR(__xludf.DUMMYFUNCTION("""COMPUTED_VALUE"""),"Marshall Islands")</f>
        <v>Marshall Islands</v>
      </c>
      <c r="M1029" s="5" t="str">
        <f>IFERROR(__xludf.DUMMYFUNCTION("""COMPUTED_VALUE"""),"Europe &amp; Central Asia")</f>
        <v>Europe &amp; Central Asia</v>
      </c>
      <c r="N1029" s="5" t="str">
        <f>IFERROR(__xludf.DUMMYFUNCTION("""COMPUTED_VALUE"""),"Western Europe and Others")</f>
        <v>Western Europe and Others</v>
      </c>
      <c r="O1029" s="5" t="str">
        <f>IFERROR(__xludf.DUMMYFUNCTION("""COMPUTED_VALUE"""),"developed")</f>
        <v>developed</v>
      </c>
      <c r="P1029" s="5"/>
      <c r="Q1029" s="5"/>
    </row>
    <row r="1030">
      <c r="A1030" s="5" t="str">
        <f>IFERROR(__xludf.DUMMYFUNCTION("""COMPUTED_VALUE"""),"Outbound +")</f>
        <v>Outbound +</v>
      </c>
      <c r="B1030" s="5">
        <f>IFERROR(__xludf.DUMMYFUNCTION("""COMPUTED_VALUE"""),109.0)</f>
        <v>109</v>
      </c>
      <c r="C1030" s="5" t="str">
        <f>IFERROR(__xludf.DUMMYFUNCTION("""COMPUTED_VALUE"""),"EAUBONNE")</f>
        <v>EAUBONNE</v>
      </c>
      <c r="D1030" s="5">
        <f>IFERROR(__xludf.DUMMYFUNCTION("""COMPUTED_VALUE"""),9663104.0)</f>
        <v>9663104</v>
      </c>
      <c r="E1030" s="5" t="str">
        <f>IFERROR(__xludf.DUMMYFUNCTION("""COMPUTED_VALUE"""),"Odesa")</f>
        <v>Odesa</v>
      </c>
      <c r="F1030" s="5" t="str">
        <f>IFERROR(__xludf.DUMMYFUNCTION("""COMPUTED_VALUE"""),"Spain")</f>
        <v>Spain</v>
      </c>
      <c r="G1030" s="5" t="str">
        <f>IFERROR(__xludf.DUMMYFUNCTION("""COMPUTED_VALUE"""),"Wheat")</f>
        <v>Wheat</v>
      </c>
      <c r="H1030" s="6">
        <f>IFERROR(__xludf.DUMMYFUNCTION("""COMPUTED_VALUE"""),13853.0)</f>
        <v>13853</v>
      </c>
      <c r="I1030" s="7">
        <f>IFERROR(__xludf.DUMMYFUNCTION("""COMPUTED_VALUE"""),44814.0)</f>
        <v>44814</v>
      </c>
      <c r="J1030" s="7">
        <f>IFERROR(__xludf.DUMMYFUNCTION("""COMPUTED_VALUE"""),44820.0)</f>
        <v>44820</v>
      </c>
      <c r="K1030" s="5" t="str">
        <f>IFERROR(__xludf.DUMMYFUNCTION("""COMPUTED_VALUE"""),"high-income")</f>
        <v>high-income</v>
      </c>
      <c r="L1030" s="5" t="str">
        <f>IFERROR(__xludf.DUMMYFUNCTION("""COMPUTED_VALUE"""),"Marshall Islands")</f>
        <v>Marshall Islands</v>
      </c>
      <c r="M1030" s="5" t="str">
        <f>IFERROR(__xludf.DUMMYFUNCTION("""COMPUTED_VALUE"""),"Europe &amp; Central Asia")</f>
        <v>Europe &amp; Central Asia</v>
      </c>
      <c r="N1030" s="5" t="str">
        <f>IFERROR(__xludf.DUMMYFUNCTION("""COMPUTED_VALUE"""),"Western Europe and Others")</f>
        <v>Western Europe and Others</v>
      </c>
      <c r="O1030" s="5" t="str">
        <f>IFERROR(__xludf.DUMMYFUNCTION("""COMPUTED_VALUE"""),"developed")</f>
        <v>developed</v>
      </c>
      <c r="P1030" s="5"/>
      <c r="Q1030" s="5"/>
    </row>
    <row r="1031">
      <c r="A1031" s="5" t="str">
        <f>IFERROR(__xludf.DUMMYFUNCTION("""COMPUTED_VALUE"""),"Outbound +")</f>
        <v>Outbound +</v>
      </c>
      <c r="B1031" s="5">
        <f>IFERROR(__xludf.DUMMYFUNCTION("""COMPUTED_VALUE"""),109.0)</f>
        <v>109</v>
      </c>
      <c r="C1031" s="5" t="str">
        <f>IFERROR(__xludf.DUMMYFUNCTION("""COMPUTED_VALUE"""),"EAUBONNE")</f>
        <v>EAUBONNE</v>
      </c>
      <c r="D1031" s="5">
        <f>IFERROR(__xludf.DUMMYFUNCTION("""COMPUTED_VALUE"""),9663104.0)</f>
        <v>9663104</v>
      </c>
      <c r="E1031" s="5" t="str">
        <f>IFERROR(__xludf.DUMMYFUNCTION("""COMPUTED_VALUE"""),"Odesa")</f>
        <v>Odesa</v>
      </c>
      <c r="F1031" s="5" t="str">
        <f>IFERROR(__xludf.DUMMYFUNCTION("""COMPUTED_VALUE"""),"Spain")</f>
        <v>Spain</v>
      </c>
      <c r="G1031" s="5" t="str">
        <f>IFERROR(__xludf.DUMMYFUNCTION("""COMPUTED_VALUE"""),"Barley")</f>
        <v>Barley</v>
      </c>
      <c r="H1031" s="6">
        <f>IFERROR(__xludf.DUMMYFUNCTION("""COMPUTED_VALUE"""),10853.0)</f>
        <v>10853</v>
      </c>
      <c r="I1031" s="7">
        <f>IFERROR(__xludf.DUMMYFUNCTION("""COMPUTED_VALUE"""),44814.0)</f>
        <v>44814</v>
      </c>
      <c r="J1031" s="7">
        <f>IFERROR(__xludf.DUMMYFUNCTION("""COMPUTED_VALUE"""),44820.0)</f>
        <v>44820</v>
      </c>
      <c r="K1031" s="5" t="str">
        <f>IFERROR(__xludf.DUMMYFUNCTION("""COMPUTED_VALUE"""),"high-income")</f>
        <v>high-income</v>
      </c>
      <c r="L1031" s="5" t="str">
        <f>IFERROR(__xludf.DUMMYFUNCTION("""COMPUTED_VALUE"""),"Marshall Islands")</f>
        <v>Marshall Islands</v>
      </c>
      <c r="M1031" s="5" t="str">
        <f>IFERROR(__xludf.DUMMYFUNCTION("""COMPUTED_VALUE"""),"Europe &amp; Central Asia")</f>
        <v>Europe &amp; Central Asia</v>
      </c>
      <c r="N1031" s="5" t="str">
        <f>IFERROR(__xludf.DUMMYFUNCTION("""COMPUTED_VALUE"""),"Western Europe and Others")</f>
        <v>Western Europe and Others</v>
      </c>
      <c r="O1031" s="5" t="str">
        <f>IFERROR(__xludf.DUMMYFUNCTION("""COMPUTED_VALUE"""),"developed")</f>
        <v>developed</v>
      </c>
      <c r="P1031" s="5"/>
      <c r="Q1031" s="5"/>
    </row>
    <row r="1032">
      <c r="A1032" s="5" t="str">
        <f>IFERROR(__xludf.DUMMYFUNCTION("""COMPUTED_VALUE"""),"Outbound")</f>
        <v>Outbound</v>
      </c>
      <c r="B1032" s="5">
        <f>IFERROR(__xludf.DUMMYFUNCTION("""COMPUTED_VALUE"""),108.0)</f>
        <v>108</v>
      </c>
      <c r="C1032" s="5" t="str">
        <f>IFERROR(__xludf.DUMMYFUNCTION("""COMPUTED_VALUE"""),"SEVIL")</f>
        <v>SEVIL</v>
      </c>
      <c r="D1032" s="5">
        <f>IFERROR(__xludf.DUMMYFUNCTION("""COMPUTED_VALUE"""),9148518.0)</f>
        <v>9148518</v>
      </c>
      <c r="E1032" s="5" t="str">
        <f>IFERROR(__xludf.DUMMYFUNCTION("""COMPUTED_VALUE"""),"Chornomorsk")</f>
        <v>Chornomorsk</v>
      </c>
      <c r="F1032" s="5" t="str">
        <f>IFERROR(__xludf.DUMMYFUNCTION("""COMPUTED_VALUE"""),"Romania")</f>
        <v>Romania</v>
      </c>
      <c r="G1032" s="5" t="str">
        <f>IFERROR(__xludf.DUMMYFUNCTION("""COMPUTED_VALUE"""),"Rapeseed")</f>
        <v>Rapeseed</v>
      </c>
      <c r="H1032" s="6">
        <f>IFERROR(__xludf.DUMMYFUNCTION("""COMPUTED_VALUE"""),4700.0)</f>
        <v>4700</v>
      </c>
      <c r="I1032" s="7">
        <f>IFERROR(__xludf.DUMMYFUNCTION("""COMPUTED_VALUE"""),44813.0)</f>
        <v>44813</v>
      </c>
      <c r="J1032" s="7">
        <f>IFERROR(__xludf.DUMMYFUNCTION("""COMPUTED_VALUE"""),44817.0)</f>
        <v>44817</v>
      </c>
      <c r="K1032" s="5" t="str">
        <f>IFERROR(__xludf.DUMMYFUNCTION("""COMPUTED_VALUE"""),"high-income")</f>
        <v>high-income</v>
      </c>
      <c r="L1032" s="5" t="str">
        <f>IFERROR(__xludf.DUMMYFUNCTION("""COMPUTED_VALUE"""),"Vanuatu")</f>
        <v>Vanuatu</v>
      </c>
      <c r="M1032" s="5" t="str">
        <f>IFERROR(__xludf.DUMMYFUNCTION("""COMPUTED_VALUE"""),"Europe &amp; Central Asia")</f>
        <v>Europe &amp; Central Asia</v>
      </c>
      <c r="N1032" s="5" t="str">
        <f>IFERROR(__xludf.DUMMYFUNCTION("""COMPUTED_VALUE"""),"Eastern Europe")</f>
        <v>Eastern Europe</v>
      </c>
      <c r="O1032" s="5" t="str">
        <f>IFERROR(__xludf.DUMMYFUNCTION("""COMPUTED_VALUE"""),"developed")</f>
        <v>developed</v>
      </c>
      <c r="P1032" s="5"/>
      <c r="Q1032" s="5"/>
    </row>
    <row r="1033">
      <c r="A1033" s="5" t="str">
        <f>IFERROR(__xludf.DUMMYFUNCTION("""COMPUTED_VALUE"""),"Outbound")</f>
        <v>Outbound</v>
      </c>
      <c r="B1033" s="5">
        <f>IFERROR(__xludf.DUMMYFUNCTION("""COMPUTED_VALUE"""),107.0)</f>
        <v>107</v>
      </c>
      <c r="C1033" s="5" t="str">
        <f>IFERROR(__xludf.DUMMYFUNCTION("""COMPUTED_VALUE"""),"SUPER BAYERN")</f>
        <v>SUPER BAYERN</v>
      </c>
      <c r="D1033" s="5">
        <f>IFERROR(__xludf.DUMMYFUNCTION("""COMPUTED_VALUE"""),9278911.0)</f>
        <v>9278911</v>
      </c>
      <c r="E1033" s="5" t="str">
        <f>IFERROR(__xludf.DUMMYFUNCTION("""COMPUTED_VALUE"""),"Yuzhny/Pivdennyi")</f>
        <v>Yuzhny/Pivdennyi</v>
      </c>
      <c r="F1033" s="5" t="str">
        <f>IFERROR(__xludf.DUMMYFUNCTION("""COMPUTED_VALUE"""),"Egypt")</f>
        <v>Egypt</v>
      </c>
      <c r="G1033" s="5" t="str">
        <f>IFERROR(__xludf.DUMMYFUNCTION("""COMPUTED_VALUE"""),"Corn")</f>
        <v>Corn</v>
      </c>
      <c r="H1033" s="6">
        <f>IFERROR(__xludf.DUMMYFUNCTION("""COMPUTED_VALUE"""),33000.0)</f>
        <v>33000</v>
      </c>
      <c r="I1033" s="7">
        <f>IFERROR(__xludf.DUMMYFUNCTION("""COMPUTED_VALUE"""),44813.0)</f>
        <v>44813</v>
      </c>
      <c r="J1033" s="7">
        <f>IFERROR(__xludf.DUMMYFUNCTION("""COMPUTED_VALUE"""),44817.0)</f>
        <v>44817</v>
      </c>
      <c r="K1033" s="5" t="str">
        <f>IFERROR(__xludf.DUMMYFUNCTION("""COMPUTED_VALUE"""),"lower-middle income")</f>
        <v>lower-middle income</v>
      </c>
      <c r="L1033" s="5" t="str">
        <f>IFERROR(__xludf.DUMMYFUNCTION("""COMPUTED_VALUE"""),"Barbados")</f>
        <v>Barbados</v>
      </c>
      <c r="M1033" s="5" t="str">
        <f>IFERROR(__xludf.DUMMYFUNCTION("""COMPUTED_VALUE"""),"Middle East &amp; North Africa")</f>
        <v>Middle East &amp; North Africa</v>
      </c>
      <c r="N1033" s="5" t="str">
        <f>IFERROR(__xludf.DUMMYFUNCTION("""COMPUTED_VALUE"""),"Africa")</f>
        <v>Africa</v>
      </c>
      <c r="O1033" s="5" t="str">
        <f>IFERROR(__xludf.DUMMYFUNCTION("""COMPUTED_VALUE"""),"developing")</f>
        <v>developing</v>
      </c>
      <c r="P1033" s="5"/>
      <c r="Q1033" s="5"/>
    </row>
    <row r="1034">
      <c r="A1034" s="5" t="str">
        <f>IFERROR(__xludf.DUMMYFUNCTION("""COMPUTED_VALUE"""),"Outbound")</f>
        <v>Outbound</v>
      </c>
      <c r="B1034" s="5">
        <f>IFERROR(__xludf.DUMMYFUNCTION("""COMPUTED_VALUE"""),106.0)</f>
        <v>106</v>
      </c>
      <c r="C1034" s="5" t="str">
        <f>IFERROR(__xludf.DUMMYFUNCTION("""COMPUTED_VALUE"""),"KIRAN AMERICA")</f>
        <v>KIRAN AMERICA</v>
      </c>
      <c r="D1034" s="5">
        <f>IFERROR(__xludf.DUMMYFUNCTION("""COMPUTED_VALUE"""),9491264.0)</f>
        <v>9491264</v>
      </c>
      <c r="E1034" s="5" t="str">
        <f>IFERROR(__xludf.DUMMYFUNCTION("""COMPUTED_VALUE"""),"Chornomorsk")</f>
        <v>Chornomorsk</v>
      </c>
      <c r="F1034" s="5" t="str">
        <f>IFERROR(__xludf.DUMMYFUNCTION("""COMPUTED_VALUE"""),"China")</f>
        <v>China</v>
      </c>
      <c r="G1034" s="5" t="str">
        <f>IFERROR(__xludf.DUMMYFUNCTION("""COMPUTED_VALUE"""),"Barley")</f>
        <v>Barley</v>
      </c>
      <c r="H1034" s="6">
        <f>IFERROR(__xludf.DUMMYFUNCTION("""COMPUTED_VALUE"""),30000.0)</f>
        <v>30000</v>
      </c>
      <c r="I1034" s="7">
        <f>IFERROR(__xludf.DUMMYFUNCTION("""COMPUTED_VALUE"""),44813.0)</f>
        <v>44813</v>
      </c>
      <c r="J1034" s="7">
        <f>IFERROR(__xludf.DUMMYFUNCTION("""COMPUTED_VALUE"""),44818.0)</f>
        <v>44818</v>
      </c>
      <c r="K1034" s="5" t="str">
        <f>IFERROR(__xludf.DUMMYFUNCTION("""COMPUTED_VALUE"""),"upper-middle-income")</f>
        <v>upper-middle-income</v>
      </c>
      <c r="L1034" s="5" t="str">
        <f>IFERROR(__xludf.DUMMYFUNCTION("""COMPUTED_VALUE"""),"Malta")</f>
        <v>Malta</v>
      </c>
      <c r="M1034" s="5" t="str">
        <f>IFERROR(__xludf.DUMMYFUNCTION("""COMPUTED_VALUE"""),"East Asia &amp; Pacific")</f>
        <v>East Asia &amp; Pacific</v>
      </c>
      <c r="N1034" s="5" t="str">
        <f>IFERROR(__xludf.DUMMYFUNCTION("""COMPUTED_VALUE"""),"Asia-Pacific")</f>
        <v>Asia-Pacific</v>
      </c>
      <c r="O1034" s="5" t="str">
        <f>IFERROR(__xludf.DUMMYFUNCTION("""COMPUTED_VALUE"""),"developing")</f>
        <v>developing</v>
      </c>
      <c r="P1034" s="5"/>
      <c r="Q1034" s="5"/>
    </row>
    <row r="1035">
      <c r="A1035" s="5" t="str">
        <f>IFERROR(__xludf.DUMMYFUNCTION("""COMPUTED_VALUE"""),"Outbound +")</f>
        <v>Outbound +</v>
      </c>
      <c r="B1035" s="5">
        <f>IFERROR(__xludf.DUMMYFUNCTION("""COMPUTED_VALUE"""),106.0)</f>
        <v>106</v>
      </c>
      <c r="C1035" s="5" t="str">
        <f>IFERROR(__xludf.DUMMYFUNCTION("""COMPUTED_VALUE"""),"KIRAN AMERICA")</f>
        <v>KIRAN AMERICA</v>
      </c>
      <c r="D1035" s="5">
        <f>IFERROR(__xludf.DUMMYFUNCTION("""COMPUTED_VALUE"""),9491264.0)</f>
        <v>9491264</v>
      </c>
      <c r="E1035" s="5" t="str">
        <f>IFERROR(__xludf.DUMMYFUNCTION("""COMPUTED_VALUE"""),"Chornomorsk")</f>
        <v>Chornomorsk</v>
      </c>
      <c r="F1035" s="5" t="str">
        <f>IFERROR(__xludf.DUMMYFUNCTION("""COMPUTED_VALUE"""),"China")</f>
        <v>China</v>
      </c>
      <c r="G1035" s="5" t="str">
        <f>IFERROR(__xludf.DUMMYFUNCTION("""COMPUTED_VALUE"""),"Corn")</f>
        <v>Corn</v>
      </c>
      <c r="H1035" s="6">
        <f>IFERROR(__xludf.DUMMYFUNCTION("""COMPUTED_VALUE"""),20000.0)</f>
        <v>20000</v>
      </c>
      <c r="I1035" s="7">
        <f>IFERROR(__xludf.DUMMYFUNCTION("""COMPUTED_VALUE"""),44813.0)</f>
        <v>44813</v>
      </c>
      <c r="J1035" s="7">
        <f>IFERROR(__xludf.DUMMYFUNCTION("""COMPUTED_VALUE"""),44818.0)</f>
        <v>44818</v>
      </c>
      <c r="K1035" s="5" t="str">
        <f>IFERROR(__xludf.DUMMYFUNCTION("""COMPUTED_VALUE"""),"upper-middle-income")</f>
        <v>upper-middle-income</v>
      </c>
      <c r="L1035" s="5" t="str">
        <f>IFERROR(__xludf.DUMMYFUNCTION("""COMPUTED_VALUE"""),"Malta")</f>
        <v>Malta</v>
      </c>
      <c r="M1035" s="5" t="str">
        <f>IFERROR(__xludf.DUMMYFUNCTION("""COMPUTED_VALUE"""),"East Asia &amp; Pacific")</f>
        <v>East Asia &amp; Pacific</v>
      </c>
      <c r="N1035" s="5" t="str">
        <f>IFERROR(__xludf.DUMMYFUNCTION("""COMPUTED_VALUE"""),"Asia-Pacific")</f>
        <v>Asia-Pacific</v>
      </c>
      <c r="O1035" s="5" t="str">
        <f>IFERROR(__xludf.DUMMYFUNCTION("""COMPUTED_VALUE"""),"developing")</f>
        <v>developing</v>
      </c>
      <c r="P1035" s="5"/>
      <c r="Q1035" s="5"/>
    </row>
    <row r="1036">
      <c r="A1036" s="5" t="str">
        <f>IFERROR(__xludf.DUMMYFUNCTION("""COMPUTED_VALUE"""),"Outbound")</f>
        <v>Outbound</v>
      </c>
      <c r="B1036" s="5">
        <f>IFERROR(__xludf.DUMMYFUNCTION("""COMPUTED_VALUE"""),105.0)</f>
        <v>105</v>
      </c>
      <c r="C1036" s="5" t="str">
        <f>IFERROR(__xludf.DUMMYFUNCTION("""COMPUTED_VALUE"""),"SANTANA")</f>
        <v>SANTANA</v>
      </c>
      <c r="D1036" s="5">
        <f>IFERROR(__xludf.DUMMYFUNCTION("""COMPUTED_VALUE"""),9449388.0)</f>
        <v>9449388</v>
      </c>
      <c r="E1036" s="5" t="str">
        <f>IFERROR(__xludf.DUMMYFUNCTION("""COMPUTED_VALUE"""),"Odesa")</f>
        <v>Odesa</v>
      </c>
      <c r="F1036" s="5" t="str">
        <f>IFERROR(__xludf.DUMMYFUNCTION("""COMPUTED_VALUE"""),"Italy")</f>
        <v>Italy</v>
      </c>
      <c r="G1036" s="5" t="str">
        <f>IFERROR(__xludf.DUMMYFUNCTION("""COMPUTED_VALUE"""),"Wheat")</f>
        <v>Wheat</v>
      </c>
      <c r="H1036" s="6">
        <f>IFERROR(__xludf.DUMMYFUNCTION("""COMPUTED_VALUE"""),10000.0)</f>
        <v>10000</v>
      </c>
      <c r="I1036" s="7">
        <f>IFERROR(__xludf.DUMMYFUNCTION("""COMPUTED_VALUE"""),44812.0)</f>
        <v>44812</v>
      </c>
      <c r="J1036" s="7">
        <f>IFERROR(__xludf.DUMMYFUNCTION("""COMPUTED_VALUE"""),44816.0)</f>
        <v>44816</v>
      </c>
      <c r="K1036" s="5" t="str">
        <f>IFERROR(__xludf.DUMMYFUNCTION("""COMPUTED_VALUE"""),"high-income")</f>
        <v>high-income</v>
      </c>
      <c r="L1036" s="5" t="str">
        <f>IFERROR(__xludf.DUMMYFUNCTION("""COMPUTED_VALUE"""),"Liberia")</f>
        <v>Liberia</v>
      </c>
      <c r="M1036" s="5" t="str">
        <f>IFERROR(__xludf.DUMMYFUNCTION("""COMPUTED_VALUE"""),"Europe &amp; Central Asia")</f>
        <v>Europe &amp; Central Asia</v>
      </c>
      <c r="N1036" s="5" t="str">
        <f>IFERROR(__xludf.DUMMYFUNCTION("""COMPUTED_VALUE"""),"Western Europe and Others")</f>
        <v>Western Europe and Others</v>
      </c>
      <c r="O1036" s="5" t="str">
        <f>IFERROR(__xludf.DUMMYFUNCTION("""COMPUTED_VALUE"""),"developed")</f>
        <v>developed</v>
      </c>
      <c r="P1036" s="5"/>
      <c r="Q1036" s="5"/>
    </row>
    <row r="1037">
      <c r="A1037" s="5" t="str">
        <f>IFERROR(__xludf.DUMMYFUNCTION("""COMPUTED_VALUE"""),"Outbound")</f>
        <v>Outbound</v>
      </c>
      <c r="B1037" s="5">
        <f>IFERROR(__xludf.DUMMYFUNCTION("""COMPUTED_VALUE"""),104.0)</f>
        <v>104</v>
      </c>
      <c r="C1037" s="5" t="str">
        <f>IFERROR(__xludf.DUMMYFUNCTION("""COMPUTED_VALUE"""),"FILYOZ")</f>
        <v>FILYOZ</v>
      </c>
      <c r="D1037" s="5">
        <f>IFERROR(__xludf.DUMMYFUNCTION("""COMPUTED_VALUE"""),9407213.0)</f>
        <v>9407213</v>
      </c>
      <c r="E1037" s="5" t="str">
        <f>IFERROR(__xludf.DUMMYFUNCTION("""COMPUTED_VALUE"""),"Odesa")</f>
        <v>Odesa</v>
      </c>
      <c r="F1037" s="5" t="str">
        <f>IFERROR(__xludf.DUMMYFUNCTION("""COMPUTED_VALUE"""),"Türkiye")</f>
        <v>Türkiye</v>
      </c>
      <c r="G1037" s="5" t="str">
        <f>IFERROR(__xludf.DUMMYFUNCTION("""COMPUTED_VALUE"""),"Sunflower oil")</f>
        <v>Sunflower oil</v>
      </c>
      <c r="H1037" s="6">
        <f>IFERROR(__xludf.DUMMYFUNCTION("""COMPUTED_VALUE"""),4410.0)</f>
        <v>4410</v>
      </c>
      <c r="I1037" s="7">
        <f>IFERROR(__xludf.DUMMYFUNCTION("""COMPUTED_VALUE"""),44812.0)</f>
        <v>44812</v>
      </c>
      <c r="J1037" s="7">
        <f>IFERROR(__xludf.DUMMYFUNCTION("""COMPUTED_VALUE"""),44816.0)</f>
        <v>44816</v>
      </c>
      <c r="K1037" s="5" t="str">
        <f>IFERROR(__xludf.DUMMYFUNCTION("""COMPUTED_VALUE"""),"upper-middle-income")</f>
        <v>upper-middle-income</v>
      </c>
      <c r="L1037" s="5" t="str">
        <f>IFERROR(__xludf.DUMMYFUNCTION("""COMPUTED_VALUE"""),"Malta")</f>
        <v>Malta</v>
      </c>
      <c r="M1037" s="5" t="str">
        <f>IFERROR(__xludf.DUMMYFUNCTION("""COMPUTED_VALUE"""),"Europe &amp; Central Asia")</f>
        <v>Europe &amp; Central Asia</v>
      </c>
      <c r="N1037" s="5" t="str">
        <f>IFERROR(__xludf.DUMMYFUNCTION("""COMPUTED_VALUE"""),"Asia-Pacific")</f>
        <v>Asia-Pacific</v>
      </c>
      <c r="O1037" s="5" t="str">
        <f>IFERROR(__xludf.DUMMYFUNCTION("""COMPUTED_VALUE"""),"developing")</f>
        <v>developing</v>
      </c>
      <c r="P1037" s="5"/>
      <c r="Q1037" s="5"/>
    </row>
    <row r="1038">
      <c r="A1038" s="5" t="str">
        <f>IFERROR(__xludf.DUMMYFUNCTION("""COMPUTED_VALUE"""),"Outbound")</f>
        <v>Outbound</v>
      </c>
      <c r="B1038" s="5">
        <f>IFERROR(__xludf.DUMMYFUNCTION("""COMPUTED_VALUE"""),103.0)</f>
        <v>103</v>
      </c>
      <c r="C1038" s="5" t="str">
        <f>IFERROR(__xludf.DUMMYFUNCTION("""COMPUTED_VALUE"""),"DIGNITY")</f>
        <v>DIGNITY</v>
      </c>
      <c r="D1038" s="5">
        <f>IFERROR(__xludf.DUMMYFUNCTION("""COMPUTED_VALUE"""),9118238.0)</f>
        <v>9118238</v>
      </c>
      <c r="E1038" s="5" t="str">
        <f>IFERROR(__xludf.DUMMYFUNCTION("""COMPUTED_VALUE"""),"Chornomorsk")</f>
        <v>Chornomorsk</v>
      </c>
      <c r="F1038" s="5" t="str">
        <f>IFERROR(__xludf.DUMMYFUNCTION("""COMPUTED_VALUE"""),"Türkiye")</f>
        <v>Türkiye</v>
      </c>
      <c r="G1038" s="5" t="str">
        <f>IFERROR(__xludf.DUMMYFUNCTION("""COMPUTED_VALUE"""),"Sunflower seed")</f>
        <v>Sunflower seed</v>
      </c>
      <c r="H1038" s="6">
        <f>IFERROR(__xludf.DUMMYFUNCTION("""COMPUTED_VALUE"""),8200.0)</f>
        <v>8200</v>
      </c>
      <c r="I1038" s="7">
        <f>IFERROR(__xludf.DUMMYFUNCTION("""COMPUTED_VALUE"""),44812.0)</f>
        <v>44812</v>
      </c>
      <c r="J1038" s="7">
        <f>IFERROR(__xludf.DUMMYFUNCTION("""COMPUTED_VALUE"""),44816.0)</f>
        <v>44816</v>
      </c>
      <c r="K1038" s="5" t="str">
        <f>IFERROR(__xludf.DUMMYFUNCTION("""COMPUTED_VALUE"""),"upper-middle-income")</f>
        <v>upper-middle-income</v>
      </c>
      <c r="L1038" s="5" t="str">
        <f>IFERROR(__xludf.DUMMYFUNCTION("""COMPUTED_VALUE"""),"Comoros")</f>
        <v>Comoros</v>
      </c>
      <c r="M1038" s="5" t="str">
        <f>IFERROR(__xludf.DUMMYFUNCTION("""COMPUTED_VALUE"""),"Europe &amp; Central Asia")</f>
        <v>Europe &amp; Central Asia</v>
      </c>
      <c r="N1038" s="5" t="str">
        <f>IFERROR(__xludf.DUMMYFUNCTION("""COMPUTED_VALUE"""),"Asia-Pacific")</f>
        <v>Asia-Pacific</v>
      </c>
      <c r="O1038" s="5" t="str">
        <f>IFERROR(__xludf.DUMMYFUNCTION("""COMPUTED_VALUE"""),"developing")</f>
        <v>developing</v>
      </c>
      <c r="P1038" s="5"/>
      <c r="Q1038" s="5"/>
    </row>
    <row r="1039">
      <c r="A1039" s="5" t="str">
        <f>IFERROR(__xludf.DUMMYFUNCTION("""COMPUTED_VALUE"""),"Outbound")</f>
        <v>Outbound</v>
      </c>
      <c r="B1039" s="5">
        <f>IFERROR(__xludf.DUMMYFUNCTION("""COMPUTED_VALUE"""),102.0)</f>
        <v>102</v>
      </c>
      <c r="C1039" s="5" t="str">
        <f>IFERROR(__xludf.DUMMYFUNCTION("""COMPUTED_VALUE"""),"CAPTAIN ADAM 1")</f>
        <v>CAPTAIN ADAM 1</v>
      </c>
      <c r="D1039" s="5">
        <f>IFERROR(__xludf.DUMMYFUNCTION("""COMPUTED_VALUE"""),8914087.0)</f>
        <v>8914087</v>
      </c>
      <c r="E1039" s="5" t="str">
        <f>IFERROR(__xludf.DUMMYFUNCTION("""COMPUTED_VALUE"""),"Chornomorsk")</f>
        <v>Chornomorsk</v>
      </c>
      <c r="F1039" s="5" t="str">
        <f>IFERROR(__xludf.DUMMYFUNCTION("""COMPUTED_VALUE"""),"Türkiye")</f>
        <v>Türkiye</v>
      </c>
      <c r="G1039" s="5" t="str">
        <f>IFERROR(__xludf.DUMMYFUNCTION("""COMPUTED_VALUE"""),"Wheat")</f>
        <v>Wheat</v>
      </c>
      <c r="H1039" s="6">
        <f>IFERROR(__xludf.DUMMYFUNCTION("""COMPUTED_VALUE"""),9300.0)</f>
        <v>9300</v>
      </c>
      <c r="I1039" s="7">
        <f>IFERROR(__xludf.DUMMYFUNCTION("""COMPUTED_VALUE"""),44812.0)</f>
        <v>44812</v>
      </c>
      <c r="J1039" s="7">
        <f>IFERROR(__xludf.DUMMYFUNCTION("""COMPUTED_VALUE"""),44816.0)</f>
        <v>44816</v>
      </c>
      <c r="K1039" s="5" t="str">
        <f>IFERROR(__xludf.DUMMYFUNCTION("""COMPUTED_VALUE"""),"upper-middle-income")</f>
        <v>upper-middle-income</v>
      </c>
      <c r="L1039" s="5" t="str">
        <f>IFERROR(__xludf.DUMMYFUNCTION("""COMPUTED_VALUE"""),"Tanzania")</f>
        <v>Tanzania</v>
      </c>
      <c r="M1039" s="5" t="str">
        <f>IFERROR(__xludf.DUMMYFUNCTION("""COMPUTED_VALUE"""),"Europe &amp; Central Asia")</f>
        <v>Europe &amp; Central Asia</v>
      </c>
      <c r="N1039" s="5" t="str">
        <f>IFERROR(__xludf.DUMMYFUNCTION("""COMPUTED_VALUE"""),"Asia-Pacific")</f>
        <v>Asia-Pacific</v>
      </c>
      <c r="O1039" s="5" t="str">
        <f>IFERROR(__xludf.DUMMYFUNCTION("""COMPUTED_VALUE"""),"developing")</f>
        <v>developing</v>
      </c>
      <c r="P1039" s="5"/>
      <c r="Q1039" s="5"/>
    </row>
    <row r="1040">
      <c r="A1040" s="5" t="str">
        <f>IFERROR(__xludf.DUMMYFUNCTION("""COMPUTED_VALUE"""),"Outbound")</f>
        <v>Outbound</v>
      </c>
      <c r="B1040" s="5">
        <f>IFERROR(__xludf.DUMMYFUNCTION("""COMPUTED_VALUE"""),101.0)</f>
        <v>101</v>
      </c>
      <c r="C1040" s="5" t="str">
        <f>IFERROR(__xludf.DUMMYFUNCTION("""COMPUTED_VALUE"""),"JASMIN QUEEN")</f>
        <v>JASMIN QUEEN</v>
      </c>
      <c r="D1040" s="5">
        <f>IFERROR(__xludf.DUMMYFUNCTION("""COMPUTED_VALUE"""),9109861.0)</f>
        <v>9109861</v>
      </c>
      <c r="E1040" s="5" t="str">
        <f>IFERROR(__xludf.DUMMYFUNCTION("""COMPUTED_VALUE"""),"Odesa")</f>
        <v>Odesa</v>
      </c>
      <c r="F1040" s="5" t="str">
        <f>IFERROR(__xludf.DUMMYFUNCTION("""COMPUTED_VALUE"""),"Türkiye")</f>
        <v>Türkiye</v>
      </c>
      <c r="G1040" s="5" t="str">
        <f>IFERROR(__xludf.DUMMYFUNCTION("""COMPUTED_VALUE"""),"Corn")</f>
        <v>Corn</v>
      </c>
      <c r="H1040" s="6">
        <f>IFERROR(__xludf.DUMMYFUNCTION("""COMPUTED_VALUE"""),9531.0)</f>
        <v>9531</v>
      </c>
      <c r="I1040" s="7">
        <f>IFERROR(__xludf.DUMMYFUNCTION("""COMPUTED_VALUE"""),44812.0)</f>
        <v>44812</v>
      </c>
      <c r="J1040" s="7">
        <f>IFERROR(__xludf.DUMMYFUNCTION("""COMPUTED_VALUE"""),44816.0)</f>
        <v>44816</v>
      </c>
      <c r="K1040" s="5" t="str">
        <f>IFERROR(__xludf.DUMMYFUNCTION("""COMPUTED_VALUE"""),"upper-middle-income")</f>
        <v>upper-middle-income</v>
      </c>
      <c r="L1040" s="5" t="str">
        <f>IFERROR(__xludf.DUMMYFUNCTION("""COMPUTED_VALUE"""),"Cameroon")</f>
        <v>Cameroon</v>
      </c>
      <c r="M1040" s="5" t="str">
        <f>IFERROR(__xludf.DUMMYFUNCTION("""COMPUTED_VALUE"""),"Europe &amp; Central Asia")</f>
        <v>Europe &amp; Central Asia</v>
      </c>
      <c r="N1040" s="5" t="str">
        <f>IFERROR(__xludf.DUMMYFUNCTION("""COMPUTED_VALUE"""),"Asia-Pacific")</f>
        <v>Asia-Pacific</v>
      </c>
      <c r="O1040" s="5" t="str">
        <f>IFERROR(__xludf.DUMMYFUNCTION("""COMPUTED_VALUE"""),"developing")</f>
        <v>developing</v>
      </c>
      <c r="P1040" s="5"/>
      <c r="Q1040" s="5"/>
    </row>
    <row r="1041">
      <c r="A1041" s="5" t="str">
        <f>IFERROR(__xludf.DUMMYFUNCTION("""COMPUTED_VALUE"""),"Outbound")</f>
        <v>Outbound</v>
      </c>
      <c r="B1041" s="5">
        <f>IFERROR(__xludf.DUMMYFUNCTION("""COMPUTED_VALUE"""),100.0)</f>
        <v>100</v>
      </c>
      <c r="C1041" s="5" t="str">
        <f>IFERROR(__xludf.DUMMYFUNCTION("""COMPUTED_VALUE"""),"KAPTAN CEVDET")</f>
        <v>KAPTAN CEVDET</v>
      </c>
      <c r="D1041" s="5">
        <f>IFERROR(__xludf.DUMMYFUNCTION("""COMPUTED_VALUE"""),9005895.0)</f>
        <v>9005895</v>
      </c>
      <c r="E1041" s="5" t="str">
        <f>IFERROR(__xludf.DUMMYFUNCTION("""COMPUTED_VALUE"""),"Chornomorsk")</f>
        <v>Chornomorsk</v>
      </c>
      <c r="F1041" s="5" t="str">
        <f>IFERROR(__xludf.DUMMYFUNCTION("""COMPUTED_VALUE"""),"Türkiye")</f>
        <v>Türkiye</v>
      </c>
      <c r="G1041" s="5" t="str">
        <f>IFERROR(__xludf.DUMMYFUNCTION("""COMPUTED_VALUE"""),"Soya beans")</f>
        <v>Soya beans</v>
      </c>
      <c r="H1041" s="6">
        <f>IFERROR(__xludf.DUMMYFUNCTION("""COMPUTED_VALUE"""),2472.0)</f>
        <v>2472</v>
      </c>
      <c r="I1041" s="7">
        <f>IFERROR(__xludf.DUMMYFUNCTION("""COMPUTED_VALUE"""),44811.0)</f>
        <v>44811</v>
      </c>
      <c r="J1041" s="7">
        <f>IFERROR(__xludf.DUMMYFUNCTION("""COMPUTED_VALUE"""),44816.0)</f>
        <v>44816</v>
      </c>
      <c r="K1041" s="5" t="str">
        <f>IFERROR(__xludf.DUMMYFUNCTION("""COMPUTED_VALUE"""),"upper-middle-income")</f>
        <v>upper-middle-income</v>
      </c>
      <c r="L1041" s="5" t="str">
        <f>IFERROR(__xludf.DUMMYFUNCTION("""COMPUTED_VALUE"""),"Türkiye")</f>
        <v>Türkiye</v>
      </c>
      <c r="M1041" s="5" t="str">
        <f>IFERROR(__xludf.DUMMYFUNCTION("""COMPUTED_VALUE"""),"Europe &amp; Central Asia")</f>
        <v>Europe &amp; Central Asia</v>
      </c>
      <c r="N1041" s="5" t="str">
        <f>IFERROR(__xludf.DUMMYFUNCTION("""COMPUTED_VALUE"""),"Asia-Pacific")</f>
        <v>Asia-Pacific</v>
      </c>
      <c r="O1041" s="5" t="str">
        <f>IFERROR(__xludf.DUMMYFUNCTION("""COMPUTED_VALUE"""),"developing")</f>
        <v>developing</v>
      </c>
      <c r="P1041" s="5"/>
      <c r="Q1041" s="5" t="str">
        <f>IFERROR(__xludf.DUMMYFUNCTION("""COMPUTED_VALUE"""),"Stranded")</f>
        <v>Stranded</v>
      </c>
    </row>
    <row r="1042">
      <c r="A1042" s="5" t="str">
        <f>IFERROR(__xludf.DUMMYFUNCTION("""COMPUTED_VALUE"""),"Outbound")</f>
        <v>Outbound</v>
      </c>
      <c r="B1042" s="5">
        <f>IFERROR(__xludf.DUMMYFUNCTION("""COMPUTED_VALUE"""),99.0)</f>
        <v>99</v>
      </c>
      <c r="C1042" s="5" t="str">
        <f>IFERROR(__xludf.DUMMYFUNCTION("""COMPUTED_VALUE"""),"ELIANA")</f>
        <v>ELIANA</v>
      </c>
      <c r="D1042" s="5">
        <f>IFERROR(__xludf.DUMMYFUNCTION("""COMPUTED_VALUE"""),9327310.0)</f>
        <v>9327310</v>
      </c>
      <c r="E1042" s="5" t="str">
        <f>IFERROR(__xludf.DUMMYFUNCTION("""COMPUTED_VALUE"""),"Chornomorsk")</f>
        <v>Chornomorsk</v>
      </c>
      <c r="F1042" s="5" t="str">
        <f>IFERROR(__xludf.DUMMYFUNCTION("""COMPUTED_VALUE"""),"Türkiye")</f>
        <v>Türkiye</v>
      </c>
      <c r="G1042" s="5" t="str">
        <f>IFERROR(__xludf.DUMMYFUNCTION("""COMPUTED_VALUE"""),"Sunflower oil")</f>
        <v>Sunflower oil</v>
      </c>
      <c r="H1042" s="6">
        <f>IFERROR(__xludf.DUMMYFUNCTION("""COMPUTED_VALUE"""),5200.0)</f>
        <v>5200</v>
      </c>
      <c r="I1042" s="7">
        <f>IFERROR(__xludf.DUMMYFUNCTION("""COMPUTED_VALUE"""),44811.0)</f>
        <v>44811</v>
      </c>
      <c r="J1042" s="7">
        <f>IFERROR(__xludf.DUMMYFUNCTION("""COMPUTED_VALUE"""),44815.0)</f>
        <v>44815</v>
      </c>
      <c r="K1042" s="5" t="str">
        <f>IFERROR(__xludf.DUMMYFUNCTION("""COMPUTED_VALUE"""),"upper-middle-income")</f>
        <v>upper-middle-income</v>
      </c>
      <c r="L1042" s="5" t="str">
        <f>IFERROR(__xludf.DUMMYFUNCTION("""COMPUTED_VALUE"""),"Malta")</f>
        <v>Malta</v>
      </c>
      <c r="M1042" s="5" t="str">
        <f>IFERROR(__xludf.DUMMYFUNCTION("""COMPUTED_VALUE"""),"Europe &amp; Central Asia")</f>
        <v>Europe &amp; Central Asia</v>
      </c>
      <c r="N1042" s="5" t="str">
        <f>IFERROR(__xludf.DUMMYFUNCTION("""COMPUTED_VALUE"""),"Asia-Pacific")</f>
        <v>Asia-Pacific</v>
      </c>
      <c r="O1042" s="5" t="str">
        <f>IFERROR(__xludf.DUMMYFUNCTION("""COMPUTED_VALUE"""),"developing")</f>
        <v>developing</v>
      </c>
      <c r="P1042" s="5"/>
      <c r="Q1042" s="5"/>
    </row>
    <row r="1043">
      <c r="A1043" s="5" t="str">
        <f>IFERROR(__xludf.DUMMYFUNCTION("""COMPUTED_VALUE"""),"Outbound")</f>
        <v>Outbound</v>
      </c>
      <c r="B1043" s="5">
        <f>IFERROR(__xludf.DUMMYFUNCTION("""COMPUTED_VALUE"""),98.0)</f>
        <v>98</v>
      </c>
      <c r="C1043" s="5" t="str">
        <f>IFERROR(__xludf.DUMMYFUNCTION("""COMPUTED_VALUE"""),"SUPER HENRY")</f>
        <v>SUPER HENRY</v>
      </c>
      <c r="D1043" s="5">
        <f>IFERROR(__xludf.DUMMYFUNCTION("""COMPUTED_VALUE"""),9407483.0)</f>
        <v>9407483</v>
      </c>
      <c r="E1043" s="5" t="str">
        <f>IFERROR(__xludf.DUMMYFUNCTION("""COMPUTED_VALUE"""),"Odesa")</f>
        <v>Odesa</v>
      </c>
      <c r="F1043" s="5" t="str">
        <f>IFERROR(__xludf.DUMMYFUNCTION("""COMPUTED_VALUE"""),"Kenya")</f>
        <v>Kenya</v>
      </c>
      <c r="G1043" s="5" t="str">
        <f>IFERROR(__xludf.DUMMYFUNCTION("""COMPUTED_VALUE"""),"Wheat")</f>
        <v>Wheat</v>
      </c>
      <c r="H1043" s="6">
        <f>IFERROR(__xludf.DUMMYFUNCTION("""COMPUTED_VALUE"""),51400.0)</f>
        <v>51400</v>
      </c>
      <c r="I1043" s="7">
        <f>IFERROR(__xludf.DUMMYFUNCTION("""COMPUTED_VALUE"""),44811.0)</f>
        <v>44811</v>
      </c>
      <c r="J1043" s="7">
        <f>IFERROR(__xludf.DUMMYFUNCTION("""COMPUTED_VALUE"""),44826.0)</f>
        <v>44826</v>
      </c>
      <c r="K1043" s="5" t="str">
        <f>IFERROR(__xludf.DUMMYFUNCTION("""COMPUTED_VALUE"""),"lower-middle income")</f>
        <v>lower-middle income</v>
      </c>
      <c r="L1043" s="5" t="str">
        <f>IFERROR(__xludf.DUMMYFUNCTION("""COMPUTED_VALUE"""),"Panama")</f>
        <v>Panama</v>
      </c>
      <c r="M1043" s="5" t="str">
        <f>IFERROR(__xludf.DUMMYFUNCTION("""COMPUTED_VALUE"""),"Sub-Saharan Africa")</f>
        <v>Sub-Saharan Africa</v>
      </c>
      <c r="N1043" s="5" t="str">
        <f>IFERROR(__xludf.DUMMYFUNCTION("""COMPUTED_VALUE"""),"Africa")</f>
        <v>Africa</v>
      </c>
      <c r="O1043" s="5" t="str">
        <f>IFERROR(__xludf.DUMMYFUNCTION("""COMPUTED_VALUE"""),"developing")</f>
        <v>developing</v>
      </c>
      <c r="P1043" s="5"/>
      <c r="Q1043" s="5"/>
    </row>
    <row r="1044">
      <c r="A1044" s="5" t="str">
        <f>IFERROR(__xludf.DUMMYFUNCTION("""COMPUTED_VALUE"""),"Outbound")</f>
        <v>Outbound</v>
      </c>
      <c r="B1044" s="5">
        <f>IFERROR(__xludf.DUMMYFUNCTION("""COMPUTED_VALUE"""),97.0)</f>
        <v>97</v>
      </c>
      <c r="C1044" s="5" t="str">
        <f>IFERROR(__xludf.DUMMYFUNCTION("""COMPUTED_VALUE"""),"SEAGUARDIAN")</f>
        <v>SEAGUARDIAN</v>
      </c>
      <c r="D1044" s="5">
        <f>IFERROR(__xludf.DUMMYFUNCTION("""COMPUTED_VALUE"""),9174268.0)</f>
        <v>9174268</v>
      </c>
      <c r="E1044" s="5" t="str">
        <f>IFERROR(__xludf.DUMMYFUNCTION("""COMPUTED_VALUE"""),"Yuzhny/Pivdennyi")</f>
        <v>Yuzhny/Pivdennyi</v>
      </c>
      <c r="F1044" s="5" t="str">
        <f>IFERROR(__xludf.DUMMYFUNCTION("""COMPUTED_VALUE"""),"Spain")</f>
        <v>Spain</v>
      </c>
      <c r="G1044" s="5" t="str">
        <f>IFERROR(__xludf.DUMMYFUNCTION("""COMPUTED_VALUE"""),"Sunflower meal")</f>
        <v>Sunflower meal</v>
      </c>
      <c r="H1044" s="6">
        <f>IFERROR(__xludf.DUMMYFUNCTION("""COMPUTED_VALUE"""),8640.04)</f>
        <v>8640.04</v>
      </c>
      <c r="I1044" s="7">
        <f>IFERROR(__xludf.DUMMYFUNCTION("""COMPUTED_VALUE"""),44811.0)</f>
        <v>44811</v>
      </c>
      <c r="J1044" s="7">
        <f>IFERROR(__xludf.DUMMYFUNCTION("""COMPUTED_VALUE"""),44816.0)</f>
        <v>44816</v>
      </c>
      <c r="K1044" s="5" t="str">
        <f>IFERROR(__xludf.DUMMYFUNCTION("""COMPUTED_VALUE"""),"high-income")</f>
        <v>high-income</v>
      </c>
      <c r="L1044" s="5" t="str">
        <f>IFERROR(__xludf.DUMMYFUNCTION("""COMPUTED_VALUE"""),"Malta")</f>
        <v>Malta</v>
      </c>
      <c r="M1044" s="5" t="str">
        <f>IFERROR(__xludf.DUMMYFUNCTION("""COMPUTED_VALUE"""),"Europe &amp; Central Asia")</f>
        <v>Europe &amp; Central Asia</v>
      </c>
      <c r="N1044" s="5" t="str">
        <f>IFERROR(__xludf.DUMMYFUNCTION("""COMPUTED_VALUE"""),"Western Europe and Others")</f>
        <v>Western Europe and Others</v>
      </c>
      <c r="O1044" s="5" t="str">
        <f>IFERROR(__xludf.DUMMYFUNCTION("""COMPUTED_VALUE"""),"developed")</f>
        <v>developed</v>
      </c>
      <c r="P1044" s="5"/>
      <c r="Q1044" s="5"/>
    </row>
    <row r="1045">
      <c r="A1045" s="5" t="str">
        <f>IFERROR(__xludf.DUMMYFUNCTION("""COMPUTED_VALUE"""),"Outbound +")</f>
        <v>Outbound +</v>
      </c>
      <c r="B1045" s="5">
        <f>IFERROR(__xludf.DUMMYFUNCTION("""COMPUTED_VALUE"""),97.0)</f>
        <v>97</v>
      </c>
      <c r="C1045" s="5" t="str">
        <f>IFERROR(__xludf.DUMMYFUNCTION("""COMPUTED_VALUE"""),"SEAGUARDIAN")</f>
        <v>SEAGUARDIAN</v>
      </c>
      <c r="D1045" s="5">
        <f>IFERROR(__xludf.DUMMYFUNCTION("""COMPUTED_VALUE"""),9174268.0)</f>
        <v>9174268</v>
      </c>
      <c r="E1045" s="5" t="str">
        <f>IFERROR(__xludf.DUMMYFUNCTION("""COMPUTED_VALUE"""),"Yuzhny/Pivdennyi")</f>
        <v>Yuzhny/Pivdennyi</v>
      </c>
      <c r="F1045" s="5" t="str">
        <f>IFERROR(__xludf.DUMMYFUNCTION("""COMPUTED_VALUE"""),"Spain")</f>
        <v>Spain</v>
      </c>
      <c r="G1045" s="5" t="str">
        <f>IFERROR(__xludf.DUMMYFUNCTION("""COMPUTED_VALUE"""),"Barley")</f>
        <v>Barley</v>
      </c>
      <c r="H1045" s="6">
        <f>IFERROR(__xludf.DUMMYFUNCTION("""COMPUTED_VALUE"""),34071.36)</f>
        <v>34071.36</v>
      </c>
      <c r="I1045" s="7">
        <f>IFERROR(__xludf.DUMMYFUNCTION("""COMPUTED_VALUE"""),44811.0)</f>
        <v>44811</v>
      </c>
      <c r="J1045" s="7">
        <f>IFERROR(__xludf.DUMMYFUNCTION("""COMPUTED_VALUE"""),44816.0)</f>
        <v>44816</v>
      </c>
      <c r="K1045" s="5" t="str">
        <f>IFERROR(__xludf.DUMMYFUNCTION("""COMPUTED_VALUE"""),"high-income")</f>
        <v>high-income</v>
      </c>
      <c r="L1045" s="5" t="str">
        <f>IFERROR(__xludf.DUMMYFUNCTION("""COMPUTED_VALUE"""),"Malta")</f>
        <v>Malta</v>
      </c>
      <c r="M1045" s="5" t="str">
        <f>IFERROR(__xludf.DUMMYFUNCTION("""COMPUTED_VALUE"""),"Europe &amp; Central Asia")</f>
        <v>Europe &amp; Central Asia</v>
      </c>
      <c r="N1045" s="5" t="str">
        <f>IFERROR(__xludf.DUMMYFUNCTION("""COMPUTED_VALUE"""),"Western Europe and Others")</f>
        <v>Western Europe and Others</v>
      </c>
      <c r="O1045" s="5" t="str">
        <f>IFERROR(__xludf.DUMMYFUNCTION("""COMPUTED_VALUE"""),"developed")</f>
        <v>developed</v>
      </c>
      <c r="P1045" s="5"/>
      <c r="Q1045" s="5"/>
    </row>
    <row r="1046">
      <c r="A1046" s="5" t="str">
        <f>IFERROR(__xludf.DUMMYFUNCTION("""COMPUTED_VALUE"""),"Outbound +")</f>
        <v>Outbound +</v>
      </c>
      <c r="B1046" s="5">
        <f>IFERROR(__xludf.DUMMYFUNCTION("""COMPUTED_VALUE"""),97.0)</f>
        <v>97</v>
      </c>
      <c r="C1046" s="5" t="str">
        <f>IFERROR(__xludf.DUMMYFUNCTION("""COMPUTED_VALUE"""),"SEAGUARDIAN")</f>
        <v>SEAGUARDIAN</v>
      </c>
      <c r="D1046" s="5">
        <f>IFERROR(__xludf.DUMMYFUNCTION("""COMPUTED_VALUE"""),9174268.0)</f>
        <v>9174268</v>
      </c>
      <c r="E1046" s="5" t="str">
        <f>IFERROR(__xludf.DUMMYFUNCTION("""COMPUTED_VALUE"""),"Yuzhny/Pivdennyi")</f>
        <v>Yuzhny/Pivdennyi</v>
      </c>
      <c r="F1046" s="5" t="str">
        <f>IFERROR(__xludf.DUMMYFUNCTION("""COMPUTED_VALUE"""),"Spain")</f>
        <v>Spain</v>
      </c>
      <c r="G1046" s="5" t="str">
        <f>IFERROR(__xludf.DUMMYFUNCTION("""COMPUTED_VALUE"""),"Wheat")</f>
        <v>Wheat</v>
      </c>
      <c r="H1046" s="6">
        <f>IFERROR(__xludf.DUMMYFUNCTION("""COMPUTED_VALUE"""),20095.0)</f>
        <v>20095</v>
      </c>
      <c r="I1046" s="7">
        <f>IFERROR(__xludf.DUMMYFUNCTION("""COMPUTED_VALUE"""),44811.0)</f>
        <v>44811</v>
      </c>
      <c r="J1046" s="7">
        <f>IFERROR(__xludf.DUMMYFUNCTION("""COMPUTED_VALUE"""),44816.0)</f>
        <v>44816</v>
      </c>
      <c r="K1046" s="5" t="str">
        <f>IFERROR(__xludf.DUMMYFUNCTION("""COMPUTED_VALUE"""),"high-income")</f>
        <v>high-income</v>
      </c>
      <c r="L1046" s="5" t="str">
        <f>IFERROR(__xludf.DUMMYFUNCTION("""COMPUTED_VALUE"""),"Malta")</f>
        <v>Malta</v>
      </c>
      <c r="M1046" s="5" t="str">
        <f>IFERROR(__xludf.DUMMYFUNCTION("""COMPUTED_VALUE"""),"Europe &amp; Central Asia")</f>
        <v>Europe &amp; Central Asia</v>
      </c>
      <c r="N1046" s="5" t="str">
        <f>IFERROR(__xludf.DUMMYFUNCTION("""COMPUTED_VALUE"""),"Western Europe and Others")</f>
        <v>Western Europe and Others</v>
      </c>
      <c r="O1046" s="5" t="str">
        <f>IFERROR(__xludf.DUMMYFUNCTION("""COMPUTED_VALUE"""),"developed")</f>
        <v>developed</v>
      </c>
      <c r="P1046" s="5"/>
      <c r="Q1046" s="5"/>
    </row>
    <row r="1047">
      <c r="A1047" s="5" t="str">
        <f>IFERROR(__xludf.DUMMYFUNCTION("""COMPUTED_VALUE"""),"Outbound")</f>
        <v>Outbound</v>
      </c>
      <c r="B1047" s="5">
        <f>IFERROR(__xludf.DUMMYFUNCTION("""COMPUTED_VALUE"""),96.0)</f>
        <v>96</v>
      </c>
      <c r="C1047" s="5" t="str">
        <f>IFERROR(__xludf.DUMMYFUNCTION("""COMPUTED_VALUE"""),"OCMIS ADVENTURE")</f>
        <v>OCMIS ADVENTURE</v>
      </c>
      <c r="D1047" s="5">
        <f>IFERROR(__xludf.DUMMYFUNCTION("""COMPUTED_VALUE"""),8919831.0)</f>
        <v>8919831</v>
      </c>
      <c r="E1047" s="5" t="str">
        <f>IFERROR(__xludf.DUMMYFUNCTION("""COMPUTED_VALUE"""),"Yuzhny/Pivdennyi")</f>
        <v>Yuzhny/Pivdennyi</v>
      </c>
      <c r="F1047" s="5" t="str">
        <f>IFERROR(__xludf.DUMMYFUNCTION("""COMPUTED_VALUE"""),"Greece")</f>
        <v>Greece</v>
      </c>
      <c r="G1047" s="5" t="str">
        <f>IFERROR(__xludf.DUMMYFUNCTION("""COMPUTED_VALUE"""),"Corn")</f>
        <v>Corn</v>
      </c>
      <c r="H1047" s="6">
        <f>IFERROR(__xludf.DUMMYFUNCTION("""COMPUTED_VALUE"""),4862.0)</f>
        <v>4862</v>
      </c>
      <c r="I1047" s="7">
        <f>IFERROR(__xludf.DUMMYFUNCTION("""COMPUTED_VALUE"""),44810.0)</f>
        <v>44810</v>
      </c>
      <c r="J1047" s="7">
        <f>IFERROR(__xludf.DUMMYFUNCTION("""COMPUTED_VALUE"""),44814.0)</f>
        <v>44814</v>
      </c>
      <c r="K1047" s="5" t="str">
        <f>IFERROR(__xludf.DUMMYFUNCTION("""COMPUTED_VALUE"""),"high-income")</f>
        <v>high-income</v>
      </c>
      <c r="L1047" s="5" t="str">
        <f>IFERROR(__xludf.DUMMYFUNCTION("""COMPUTED_VALUE"""),"Palau")</f>
        <v>Palau</v>
      </c>
      <c r="M1047" s="5" t="str">
        <f>IFERROR(__xludf.DUMMYFUNCTION("""COMPUTED_VALUE"""),"Europe &amp; Central Asia")</f>
        <v>Europe &amp; Central Asia</v>
      </c>
      <c r="N1047" s="5" t="str">
        <f>IFERROR(__xludf.DUMMYFUNCTION("""COMPUTED_VALUE"""),"Western Europe and Others")</f>
        <v>Western Europe and Others</v>
      </c>
      <c r="O1047" s="5" t="str">
        <f>IFERROR(__xludf.DUMMYFUNCTION("""COMPUTED_VALUE"""),"developed")</f>
        <v>developed</v>
      </c>
      <c r="P1047" s="5"/>
      <c r="Q1047" s="5"/>
    </row>
    <row r="1048">
      <c r="A1048" s="5" t="str">
        <f>IFERROR(__xludf.DUMMYFUNCTION("""COMPUTED_VALUE"""),"Outbound")</f>
        <v>Outbound</v>
      </c>
      <c r="B1048" s="5">
        <f>IFERROR(__xludf.DUMMYFUNCTION("""COMPUTED_VALUE"""),95.0)</f>
        <v>95</v>
      </c>
      <c r="C1048" s="5" t="str">
        <f>IFERROR(__xludf.DUMMYFUNCTION("""COMPUTED_VALUE"""),"VITIS")</f>
        <v>VITIS</v>
      </c>
      <c r="D1048" s="5">
        <f>IFERROR(__xludf.DUMMYFUNCTION("""COMPUTED_VALUE"""),9000613.0)</f>
        <v>9000613</v>
      </c>
      <c r="E1048" s="5" t="str">
        <f>IFERROR(__xludf.DUMMYFUNCTION("""COMPUTED_VALUE"""),"Yuzhny/Pivdennyi")</f>
        <v>Yuzhny/Pivdennyi</v>
      </c>
      <c r="F1048" s="5" t="str">
        <f>IFERROR(__xludf.DUMMYFUNCTION("""COMPUTED_VALUE"""),"Italy")</f>
        <v>Italy</v>
      </c>
      <c r="G1048" s="5" t="str">
        <f>IFERROR(__xludf.DUMMYFUNCTION("""COMPUTED_VALUE"""),"Sunflower oil")</f>
        <v>Sunflower oil</v>
      </c>
      <c r="H1048" s="6">
        <f>IFERROR(__xludf.DUMMYFUNCTION("""COMPUTED_VALUE"""),5800.0)</f>
        <v>5800</v>
      </c>
      <c r="I1048" s="7">
        <f>IFERROR(__xludf.DUMMYFUNCTION("""COMPUTED_VALUE"""),44810.0)</f>
        <v>44810</v>
      </c>
      <c r="J1048" s="7">
        <f>IFERROR(__xludf.DUMMYFUNCTION("""COMPUTED_VALUE"""),44814.0)</f>
        <v>44814</v>
      </c>
      <c r="K1048" s="5" t="str">
        <f>IFERROR(__xludf.DUMMYFUNCTION("""COMPUTED_VALUE"""),"high-income")</f>
        <v>high-income</v>
      </c>
      <c r="L1048" s="5" t="str">
        <f>IFERROR(__xludf.DUMMYFUNCTION("""COMPUTED_VALUE"""),"Panama")</f>
        <v>Panama</v>
      </c>
      <c r="M1048" s="5" t="str">
        <f>IFERROR(__xludf.DUMMYFUNCTION("""COMPUTED_VALUE"""),"Europe &amp; Central Asia")</f>
        <v>Europe &amp; Central Asia</v>
      </c>
      <c r="N1048" s="5" t="str">
        <f>IFERROR(__xludf.DUMMYFUNCTION("""COMPUTED_VALUE"""),"Western Europe and Others")</f>
        <v>Western Europe and Others</v>
      </c>
      <c r="O1048" s="5" t="str">
        <f>IFERROR(__xludf.DUMMYFUNCTION("""COMPUTED_VALUE"""),"developed")</f>
        <v>developed</v>
      </c>
      <c r="P1048" s="5"/>
      <c r="Q1048" s="5"/>
    </row>
    <row r="1049">
      <c r="A1049" s="5" t="str">
        <f>IFERROR(__xludf.DUMMYFUNCTION("""COMPUTED_VALUE"""),"Outbound")</f>
        <v>Outbound</v>
      </c>
      <c r="B1049" s="5">
        <f>IFERROR(__xludf.DUMMYFUNCTION("""COMPUTED_VALUE"""),94.0)</f>
        <v>94</v>
      </c>
      <c r="C1049" s="5" t="str">
        <f>IFERROR(__xludf.DUMMYFUNCTION("""COMPUTED_VALUE"""),"NEW LEVANT")</f>
        <v>NEW LEVANT</v>
      </c>
      <c r="D1049" s="5">
        <f>IFERROR(__xludf.DUMMYFUNCTION("""COMPUTED_VALUE"""),9111371.0)</f>
        <v>9111371</v>
      </c>
      <c r="E1049" s="5" t="str">
        <f>IFERROR(__xludf.DUMMYFUNCTION("""COMPUTED_VALUE"""),"Odesa")</f>
        <v>Odesa</v>
      </c>
      <c r="F1049" s="5" t="str">
        <f>IFERROR(__xludf.DUMMYFUNCTION("""COMPUTED_VALUE"""),"Türkiye")</f>
        <v>Türkiye</v>
      </c>
      <c r="G1049" s="5" t="str">
        <f>IFERROR(__xludf.DUMMYFUNCTION("""COMPUTED_VALUE"""),"Wheat")</f>
        <v>Wheat</v>
      </c>
      <c r="H1049" s="6">
        <f>IFERROR(__xludf.DUMMYFUNCTION("""COMPUTED_VALUE"""),26500.0)</f>
        <v>26500</v>
      </c>
      <c r="I1049" s="7">
        <f>IFERROR(__xludf.DUMMYFUNCTION("""COMPUTED_VALUE"""),44810.0)</f>
        <v>44810</v>
      </c>
      <c r="J1049" s="7">
        <f>IFERROR(__xludf.DUMMYFUNCTION("""COMPUTED_VALUE"""),44814.0)</f>
        <v>44814</v>
      </c>
      <c r="K1049" s="5" t="str">
        <f>IFERROR(__xludf.DUMMYFUNCTION("""COMPUTED_VALUE"""),"upper-middle-income")</f>
        <v>upper-middle-income</v>
      </c>
      <c r="L1049" s="5" t="str">
        <f>IFERROR(__xludf.DUMMYFUNCTION("""COMPUTED_VALUE"""),"Belize")</f>
        <v>Belize</v>
      </c>
      <c r="M1049" s="5" t="str">
        <f>IFERROR(__xludf.DUMMYFUNCTION("""COMPUTED_VALUE"""),"Europe &amp; Central Asia")</f>
        <v>Europe &amp; Central Asia</v>
      </c>
      <c r="N1049" s="5" t="str">
        <f>IFERROR(__xludf.DUMMYFUNCTION("""COMPUTED_VALUE"""),"Asia-Pacific")</f>
        <v>Asia-Pacific</v>
      </c>
      <c r="O1049" s="5" t="str">
        <f>IFERROR(__xludf.DUMMYFUNCTION("""COMPUTED_VALUE"""),"developing")</f>
        <v>developing</v>
      </c>
      <c r="P1049" s="5"/>
      <c r="Q1049" s="5"/>
    </row>
    <row r="1050">
      <c r="A1050" s="5" t="str">
        <f>IFERROR(__xludf.DUMMYFUNCTION("""COMPUTED_VALUE"""),"Outbound")</f>
        <v>Outbound</v>
      </c>
      <c r="B1050" s="5">
        <f>IFERROR(__xludf.DUMMYFUNCTION("""COMPUTED_VALUE"""),93.0)</f>
        <v>93</v>
      </c>
      <c r="C1050" s="5" t="str">
        <f>IFERROR(__xludf.DUMMYFUNCTION("""COMPUTED_VALUE"""),"ORIS PRINCESS")</f>
        <v>ORIS PRINCESS</v>
      </c>
      <c r="D1050" s="5">
        <f>IFERROR(__xludf.DUMMYFUNCTION("""COMPUTED_VALUE"""),9119907.0)</f>
        <v>9119907</v>
      </c>
      <c r="E1050" s="5" t="str">
        <f>IFERROR(__xludf.DUMMYFUNCTION("""COMPUTED_VALUE"""),"Chornomorsk")</f>
        <v>Chornomorsk</v>
      </c>
      <c r="F1050" s="5" t="str">
        <f>IFERROR(__xludf.DUMMYFUNCTION("""COMPUTED_VALUE"""),"Israel")</f>
        <v>Israel</v>
      </c>
      <c r="G1050" s="5" t="str">
        <f>IFERROR(__xludf.DUMMYFUNCTION("""COMPUTED_VALUE"""),"Sunflower meal")</f>
        <v>Sunflower meal</v>
      </c>
      <c r="H1050" s="6">
        <f>IFERROR(__xludf.DUMMYFUNCTION("""COMPUTED_VALUE"""),4510.0)</f>
        <v>4510</v>
      </c>
      <c r="I1050" s="7">
        <f>IFERROR(__xludf.DUMMYFUNCTION("""COMPUTED_VALUE"""),44810.0)</f>
        <v>44810</v>
      </c>
      <c r="J1050" s="7">
        <f>IFERROR(__xludf.DUMMYFUNCTION("""COMPUTED_VALUE"""),44816.0)</f>
        <v>44816</v>
      </c>
      <c r="K1050" s="5" t="str">
        <f>IFERROR(__xludf.DUMMYFUNCTION("""COMPUTED_VALUE"""),"high-income")</f>
        <v>high-income</v>
      </c>
      <c r="L1050" s="5" t="str">
        <f>IFERROR(__xludf.DUMMYFUNCTION("""COMPUTED_VALUE"""),"Panama")</f>
        <v>Panama</v>
      </c>
      <c r="M1050" s="5" t="str">
        <f>IFERROR(__xludf.DUMMYFUNCTION("""COMPUTED_VALUE"""),"Middle East &amp; North Africa")</f>
        <v>Middle East &amp; North Africa</v>
      </c>
      <c r="N1050" s="5" t="str">
        <f>IFERROR(__xludf.DUMMYFUNCTION("""COMPUTED_VALUE"""),"Western Europe and Others")</f>
        <v>Western Europe and Others</v>
      </c>
      <c r="O1050" s="5" t="str">
        <f>IFERROR(__xludf.DUMMYFUNCTION("""COMPUTED_VALUE"""),"developed")</f>
        <v>developed</v>
      </c>
      <c r="P1050" s="5"/>
      <c r="Q1050" s="5"/>
    </row>
    <row r="1051">
      <c r="A1051" s="5" t="str">
        <f>IFERROR(__xludf.DUMMYFUNCTION("""COMPUTED_VALUE"""),"Outbound")</f>
        <v>Outbound</v>
      </c>
      <c r="B1051" s="5">
        <f>IFERROR(__xludf.DUMMYFUNCTION("""COMPUTED_VALUE"""),92.0)</f>
        <v>92</v>
      </c>
      <c r="C1051" s="5" t="str">
        <f>IFERROR(__xludf.DUMMYFUNCTION("""COMPUTED_VALUE"""),"QUEEN SARA")</f>
        <v>QUEEN SARA</v>
      </c>
      <c r="D1051" s="5">
        <f>IFERROR(__xludf.DUMMYFUNCTION("""COMPUTED_VALUE"""),9132507.0)</f>
        <v>9132507</v>
      </c>
      <c r="E1051" s="5" t="str">
        <f>IFERROR(__xludf.DUMMYFUNCTION("""COMPUTED_VALUE"""),"Chornomorsk")</f>
        <v>Chornomorsk</v>
      </c>
      <c r="F1051" s="5" t="str">
        <f>IFERROR(__xludf.DUMMYFUNCTION("""COMPUTED_VALUE"""),"Egypt")</f>
        <v>Egypt</v>
      </c>
      <c r="G1051" s="5" t="str">
        <f>IFERROR(__xludf.DUMMYFUNCTION("""COMPUTED_VALUE"""),"Corn")</f>
        <v>Corn</v>
      </c>
      <c r="H1051" s="6">
        <f>IFERROR(__xludf.DUMMYFUNCTION("""COMPUTED_VALUE"""),11091.0)</f>
        <v>11091</v>
      </c>
      <c r="I1051" s="7">
        <f>IFERROR(__xludf.DUMMYFUNCTION("""COMPUTED_VALUE"""),44810.0)</f>
        <v>44810</v>
      </c>
      <c r="J1051" s="7">
        <f>IFERROR(__xludf.DUMMYFUNCTION("""COMPUTED_VALUE"""),44815.0)</f>
        <v>44815</v>
      </c>
      <c r="K1051" s="5" t="str">
        <f>IFERROR(__xludf.DUMMYFUNCTION("""COMPUTED_VALUE"""),"lower-middle income")</f>
        <v>lower-middle income</v>
      </c>
      <c r="L1051" s="5" t="str">
        <f>IFERROR(__xludf.DUMMYFUNCTION("""COMPUTED_VALUE"""),"Sierra Leone")</f>
        <v>Sierra Leone</v>
      </c>
      <c r="M1051" s="5" t="str">
        <f>IFERROR(__xludf.DUMMYFUNCTION("""COMPUTED_VALUE"""),"Middle East &amp; North Africa")</f>
        <v>Middle East &amp; North Africa</v>
      </c>
      <c r="N1051" s="5" t="str">
        <f>IFERROR(__xludf.DUMMYFUNCTION("""COMPUTED_VALUE"""),"Africa")</f>
        <v>Africa</v>
      </c>
      <c r="O1051" s="5" t="str">
        <f>IFERROR(__xludf.DUMMYFUNCTION("""COMPUTED_VALUE"""),"developing")</f>
        <v>developing</v>
      </c>
      <c r="P1051" s="5"/>
      <c r="Q1051" s="5"/>
    </row>
    <row r="1052">
      <c r="A1052" s="5" t="str">
        <f>IFERROR(__xludf.DUMMYFUNCTION("""COMPUTED_VALUE"""),"Outbound")</f>
        <v>Outbound</v>
      </c>
      <c r="B1052" s="5">
        <f>IFERROR(__xludf.DUMMYFUNCTION("""COMPUTED_VALUE"""),91.0)</f>
        <v>91</v>
      </c>
      <c r="C1052" s="5" t="str">
        <f>IFERROR(__xludf.DUMMYFUNCTION("""COMPUTED_VALUE"""),"IRMGARD")</f>
        <v>IRMGARD</v>
      </c>
      <c r="D1052" s="5">
        <f>IFERROR(__xludf.DUMMYFUNCTION("""COMPUTED_VALUE"""),9590967.0)</f>
        <v>9590967</v>
      </c>
      <c r="E1052" s="5" t="str">
        <f>IFERROR(__xludf.DUMMYFUNCTION("""COMPUTED_VALUE"""),"Odesa")</f>
        <v>Odesa</v>
      </c>
      <c r="F1052" s="5" t="str">
        <f>IFERROR(__xludf.DUMMYFUNCTION("""COMPUTED_VALUE"""),"Türkiye")</f>
        <v>Türkiye</v>
      </c>
      <c r="G1052" s="5" t="str">
        <f>IFERROR(__xludf.DUMMYFUNCTION("""COMPUTED_VALUE"""),"Wheat")</f>
        <v>Wheat</v>
      </c>
      <c r="H1052" s="6">
        <f>IFERROR(__xludf.DUMMYFUNCTION("""COMPUTED_VALUE"""),27500.0)</f>
        <v>27500</v>
      </c>
      <c r="I1052" s="7">
        <f>IFERROR(__xludf.DUMMYFUNCTION("""COMPUTED_VALUE"""),44810.0)</f>
        <v>44810</v>
      </c>
      <c r="J1052" s="7">
        <f>IFERROR(__xludf.DUMMYFUNCTION("""COMPUTED_VALUE"""),44815.0)</f>
        <v>44815</v>
      </c>
      <c r="K1052" s="5" t="str">
        <f>IFERROR(__xludf.DUMMYFUNCTION("""COMPUTED_VALUE"""),"upper-middle-income")</f>
        <v>upper-middle-income</v>
      </c>
      <c r="L1052" s="5" t="str">
        <f>IFERROR(__xludf.DUMMYFUNCTION("""COMPUTED_VALUE"""),"Cayman Islands")</f>
        <v>Cayman Islands</v>
      </c>
      <c r="M1052" s="5" t="str">
        <f>IFERROR(__xludf.DUMMYFUNCTION("""COMPUTED_VALUE"""),"Europe &amp; Central Asia")</f>
        <v>Europe &amp; Central Asia</v>
      </c>
      <c r="N1052" s="5" t="str">
        <f>IFERROR(__xludf.DUMMYFUNCTION("""COMPUTED_VALUE"""),"Asia-Pacific")</f>
        <v>Asia-Pacific</v>
      </c>
      <c r="O1052" s="5" t="str">
        <f>IFERROR(__xludf.DUMMYFUNCTION("""COMPUTED_VALUE"""),"developing")</f>
        <v>developing</v>
      </c>
      <c r="P1052" s="5"/>
      <c r="Q1052" s="5"/>
    </row>
    <row r="1053">
      <c r="A1053" s="5" t="str">
        <f>IFERROR(__xludf.DUMMYFUNCTION("""COMPUTED_VALUE"""),"Outbound +")</f>
        <v>Outbound +</v>
      </c>
      <c r="B1053" s="5">
        <f>IFERROR(__xludf.DUMMYFUNCTION("""COMPUTED_VALUE"""),91.0)</f>
        <v>91</v>
      </c>
      <c r="C1053" s="5" t="str">
        <f>IFERROR(__xludf.DUMMYFUNCTION("""COMPUTED_VALUE"""),"IRMGARD")</f>
        <v>IRMGARD</v>
      </c>
      <c r="D1053" s="5">
        <f>IFERROR(__xludf.DUMMYFUNCTION("""COMPUTED_VALUE"""),9590967.0)</f>
        <v>9590967</v>
      </c>
      <c r="E1053" s="5" t="str">
        <f>IFERROR(__xludf.DUMMYFUNCTION("""COMPUTED_VALUE"""),"Odesa")</f>
        <v>Odesa</v>
      </c>
      <c r="F1053" s="5" t="str">
        <f>IFERROR(__xludf.DUMMYFUNCTION("""COMPUTED_VALUE"""),"Türkiye")</f>
        <v>Türkiye</v>
      </c>
      <c r="G1053" s="5" t="str">
        <f>IFERROR(__xludf.DUMMYFUNCTION("""COMPUTED_VALUE"""),"Corn")</f>
        <v>Corn</v>
      </c>
      <c r="H1053" s="6">
        <f>IFERROR(__xludf.DUMMYFUNCTION("""COMPUTED_VALUE"""),7179.0)</f>
        <v>7179</v>
      </c>
      <c r="I1053" s="7">
        <f>IFERROR(__xludf.DUMMYFUNCTION("""COMPUTED_VALUE"""),44810.0)</f>
        <v>44810</v>
      </c>
      <c r="J1053" s="7">
        <f>IFERROR(__xludf.DUMMYFUNCTION("""COMPUTED_VALUE"""),44815.0)</f>
        <v>44815</v>
      </c>
      <c r="K1053" s="5" t="str">
        <f>IFERROR(__xludf.DUMMYFUNCTION("""COMPUTED_VALUE"""),"upper-middle-income")</f>
        <v>upper-middle-income</v>
      </c>
      <c r="L1053" s="5" t="str">
        <f>IFERROR(__xludf.DUMMYFUNCTION("""COMPUTED_VALUE"""),"Cayman Islands")</f>
        <v>Cayman Islands</v>
      </c>
      <c r="M1053" s="5" t="str">
        <f>IFERROR(__xludf.DUMMYFUNCTION("""COMPUTED_VALUE"""),"Europe &amp; Central Asia")</f>
        <v>Europe &amp; Central Asia</v>
      </c>
      <c r="N1053" s="5" t="str">
        <f>IFERROR(__xludf.DUMMYFUNCTION("""COMPUTED_VALUE"""),"Asia-Pacific")</f>
        <v>Asia-Pacific</v>
      </c>
      <c r="O1053" s="5" t="str">
        <f>IFERROR(__xludf.DUMMYFUNCTION("""COMPUTED_VALUE"""),"developing")</f>
        <v>developing</v>
      </c>
      <c r="P1053" s="5"/>
      <c r="Q1053" s="5"/>
    </row>
    <row r="1054">
      <c r="A1054" s="5" t="str">
        <f>IFERROR(__xludf.DUMMYFUNCTION("""COMPUTED_VALUE"""),"Outbound")</f>
        <v>Outbound</v>
      </c>
      <c r="B1054" s="5">
        <f>IFERROR(__xludf.DUMMYFUNCTION("""COMPUTED_VALUE"""),90.0)</f>
        <v>90</v>
      </c>
      <c r="C1054" s="5" t="str">
        <f>IFERROR(__xludf.DUMMYFUNCTION("""COMPUTED_VALUE"""),"BARON")</f>
        <v>BARON</v>
      </c>
      <c r="D1054" s="5">
        <f>IFERROR(__xludf.DUMMYFUNCTION("""COMPUTED_VALUE"""),7352476.0)</f>
        <v>7352476</v>
      </c>
      <c r="E1054" s="5" t="str">
        <f>IFERROR(__xludf.DUMMYFUNCTION("""COMPUTED_VALUE"""),"Odesa")</f>
        <v>Odesa</v>
      </c>
      <c r="F1054" s="5" t="str">
        <f>IFERROR(__xludf.DUMMYFUNCTION("""COMPUTED_VALUE"""),"Türkiye")</f>
        <v>Türkiye</v>
      </c>
      <c r="G1054" s="5" t="str">
        <f>IFERROR(__xludf.DUMMYFUNCTION("""COMPUTED_VALUE"""),"Corn")</f>
        <v>Corn</v>
      </c>
      <c r="H1054" s="6">
        <f>IFERROR(__xludf.DUMMYFUNCTION("""COMPUTED_VALUE"""),5750.0)</f>
        <v>5750</v>
      </c>
      <c r="I1054" s="7">
        <f>IFERROR(__xludf.DUMMYFUNCTION("""COMPUTED_VALUE"""),44809.0)</f>
        <v>44809</v>
      </c>
      <c r="J1054" s="7">
        <f>IFERROR(__xludf.DUMMYFUNCTION("""COMPUTED_VALUE"""),44814.0)</f>
        <v>44814</v>
      </c>
      <c r="K1054" s="5" t="str">
        <f>IFERROR(__xludf.DUMMYFUNCTION("""COMPUTED_VALUE"""),"upper-middle-income")</f>
        <v>upper-middle-income</v>
      </c>
      <c r="L1054" s="5" t="str">
        <f>IFERROR(__xludf.DUMMYFUNCTION("""COMPUTED_VALUE"""),"Equatorial Guinea")</f>
        <v>Equatorial Guinea</v>
      </c>
      <c r="M1054" s="5" t="str">
        <f>IFERROR(__xludf.DUMMYFUNCTION("""COMPUTED_VALUE"""),"Europe &amp; Central Asia")</f>
        <v>Europe &amp; Central Asia</v>
      </c>
      <c r="N1054" s="5" t="str">
        <f>IFERROR(__xludf.DUMMYFUNCTION("""COMPUTED_VALUE"""),"Asia-Pacific")</f>
        <v>Asia-Pacific</v>
      </c>
      <c r="O1054" s="5" t="str">
        <f>IFERROR(__xludf.DUMMYFUNCTION("""COMPUTED_VALUE"""),"developing")</f>
        <v>developing</v>
      </c>
      <c r="P1054" s="5"/>
      <c r="Q1054" s="5"/>
    </row>
    <row r="1055">
      <c r="A1055" s="5" t="str">
        <f>IFERROR(__xludf.DUMMYFUNCTION("""COMPUTED_VALUE"""),"Outbound")</f>
        <v>Outbound</v>
      </c>
      <c r="B1055" s="5">
        <f>IFERROR(__xludf.DUMMYFUNCTION("""COMPUTED_VALUE"""),89.0)</f>
        <v>89</v>
      </c>
      <c r="C1055" s="5" t="str">
        <f>IFERROR(__xludf.DUMMYFUNCTION("""COMPUTED_VALUE"""),"MY MERAY")</f>
        <v>MY MERAY</v>
      </c>
      <c r="D1055" s="5">
        <f>IFERROR(__xludf.DUMMYFUNCTION("""COMPUTED_VALUE"""),9000302.0)</f>
        <v>9000302</v>
      </c>
      <c r="E1055" s="5" t="str">
        <f>IFERROR(__xludf.DUMMYFUNCTION("""COMPUTED_VALUE"""),"Chornomorsk")</f>
        <v>Chornomorsk</v>
      </c>
      <c r="F1055" s="5" t="str">
        <f>IFERROR(__xludf.DUMMYFUNCTION("""COMPUTED_VALUE"""),"Egypt")</f>
        <v>Egypt</v>
      </c>
      <c r="G1055" s="5" t="str">
        <f>IFERROR(__xludf.DUMMYFUNCTION("""COMPUTED_VALUE"""),"Corn")</f>
        <v>Corn</v>
      </c>
      <c r="H1055" s="6">
        <f>IFERROR(__xludf.DUMMYFUNCTION("""COMPUTED_VALUE"""),30000.0)</f>
        <v>30000</v>
      </c>
      <c r="I1055" s="7">
        <f>IFERROR(__xludf.DUMMYFUNCTION("""COMPUTED_VALUE"""),44809.0)</f>
        <v>44809</v>
      </c>
      <c r="J1055" s="7">
        <f>IFERROR(__xludf.DUMMYFUNCTION("""COMPUTED_VALUE"""),44814.0)</f>
        <v>44814</v>
      </c>
      <c r="K1055" s="5" t="str">
        <f>IFERROR(__xludf.DUMMYFUNCTION("""COMPUTED_VALUE"""),"lower-middle income")</f>
        <v>lower-middle income</v>
      </c>
      <c r="L1055" s="5" t="str">
        <f>IFERROR(__xludf.DUMMYFUNCTION("""COMPUTED_VALUE"""),"Belize")</f>
        <v>Belize</v>
      </c>
      <c r="M1055" s="5" t="str">
        <f>IFERROR(__xludf.DUMMYFUNCTION("""COMPUTED_VALUE"""),"Middle East &amp; North Africa")</f>
        <v>Middle East &amp; North Africa</v>
      </c>
      <c r="N1055" s="5" t="str">
        <f>IFERROR(__xludf.DUMMYFUNCTION("""COMPUTED_VALUE"""),"Africa")</f>
        <v>Africa</v>
      </c>
      <c r="O1055" s="5" t="str">
        <f>IFERROR(__xludf.DUMMYFUNCTION("""COMPUTED_VALUE"""),"developing")</f>
        <v>developing</v>
      </c>
      <c r="P1055" s="5"/>
      <c r="Q1055" s="5"/>
    </row>
    <row r="1056">
      <c r="A1056" s="5" t="str">
        <f>IFERROR(__xludf.DUMMYFUNCTION("""COMPUTED_VALUE"""),"Outbound")</f>
        <v>Outbound</v>
      </c>
      <c r="B1056" s="5">
        <f>IFERROR(__xludf.DUMMYFUNCTION("""COMPUTED_VALUE"""),88.0)</f>
        <v>88</v>
      </c>
      <c r="C1056" s="5" t="str">
        <f>IFERROR(__xludf.DUMMYFUNCTION("""COMPUTED_VALUE"""),"GOLDEN YARA")</f>
        <v>GOLDEN YARA</v>
      </c>
      <c r="D1056" s="5">
        <f>IFERROR(__xludf.DUMMYFUNCTION("""COMPUTED_VALUE"""),8915299.0)</f>
        <v>8915299</v>
      </c>
      <c r="E1056" s="5" t="str">
        <f>IFERROR(__xludf.DUMMYFUNCTION("""COMPUTED_VALUE"""),"Yuzhny/Pivdennyi")</f>
        <v>Yuzhny/Pivdennyi</v>
      </c>
      <c r="F1056" s="5" t="str">
        <f>IFERROR(__xludf.DUMMYFUNCTION("""COMPUTED_VALUE"""),"Türkiye")</f>
        <v>Türkiye</v>
      </c>
      <c r="G1056" s="5" t="str">
        <f>IFERROR(__xludf.DUMMYFUNCTION("""COMPUTED_VALUE"""),"Wheat")</f>
        <v>Wheat</v>
      </c>
      <c r="H1056" s="6">
        <f>IFERROR(__xludf.DUMMYFUNCTION("""COMPUTED_VALUE"""),13500.0)</f>
        <v>13500</v>
      </c>
      <c r="I1056" s="7">
        <f>IFERROR(__xludf.DUMMYFUNCTION("""COMPUTED_VALUE"""),44809.0)</f>
        <v>44809</v>
      </c>
      <c r="J1056" s="7">
        <f>IFERROR(__xludf.DUMMYFUNCTION("""COMPUTED_VALUE"""),44814.0)</f>
        <v>44814</v>
      </c>
      <c r="K1056" s="5" t="str">
        <f>IFERROR(__xludf.DUMMYFUNCTION("""COMPUTED_VALUE"""),"upper-middle-income")</f>
        <v>upper-middle-income</v>
      </c>
      <c r="L1056" s="5" t="str">
        <f>IFERROR(__xludf.DUMMYFUNCTION("""COMPUTED_VALUE"""),"Comoros")</f>
        <v>Comoros</v>
      </c>
      <c r="M1056" s="5" t="str">
        <f>IFERROR(__xludf.DUMMYFUNCTION("""COMPUTED_VALUE"""),"Europe &amp; Central Asia")</f>
        <v>Europe &amp; Central Asia</v>
      </c>
      <c r="N1056" s="5" t="str">
        <f>IFERROR(__xludf.DUMMYFUNCTION("""COMPUTED_VALUE"""),"Asia-Pacific")</f>
        <v>Asia-Pacific</v>
      </c>
      <c r="O1056" s="5" t="str">
        <f>IFERROR(__xludf.DUMMYFUNCTION("""COMPUTED_VALUE"""),"developing")</f>
        <v>developing</v>
      </c>
      <c r="P1056" s="5"/>
      <c r="Q1056" s="5"/>
    </row>
    <row r="1057">
      <c r="A1057" s="5" t="str">
        <f>IFERROR(__xludf.DUMMYFUNCTION("""COMPUTED_VALUE"""),"Outbound")</f>
        <v>Outbound</v>
      </c>
      <c r="B1057" s="5">
        <f>IFERROR(__xludf.DUMMYFUNCTION("""COMPUTED_VALUE"""),87.0)</f>
        <v>87</v>
      </c>
      <c r="C1057" s="5" t="str">
        <f>IFERROR(__xludf.DUMMYFUNCTION("""COMPUTED_VALUE"""),"NORD VIRGO")</f>
        <v>NORD VIRGO</v>
      </c>
      <c r="D1057" s="5">
        <f>IFERROR(__xludf.DUMMYFUNCTION("""COMPUTED_VALUE"""),9711937.0)</f>
        <v>9711937</v>
      </c>
      <c r="E1057" s="5" t="str">
        <f>IFERROR(__xludf.DUMMYFUNCTION("""COMPUTED_VALUE"""),"Yuzhny/Pivdennyi")</f>
        <v>Yuzhny/Pivdennyi</v>
      </c>
      <c r="F1057" s="5" t="str">
        <f>IFERROR(__xludf.DUMMYFUNCTION("""COMPUTED_VALUE"""),"China")</f>
        <v>China</v>
      </c>
      <c r="G1057" s="5" t="str">
        <f>IFERROR(__xludf.DUMMYFUNCTION("""COMPUTED_VALUE"""),"Corn")</f>
        <v>Corn</v>
      </c>
      <c r="H1057" s="6">
        <f>IFERROR(__xludf.DUMMYFUNCTION("""COMPUTED_VALUE"""),62340.0)</f>
        <v>62340</v>
      </c>
      <c r="I1057" s="7">
        <f>IFERROR(__xludf.DUMMYFUNCTION("""COMPUTED_VALUE"""),44808.0)</f>
        <v>44808</v>
      </c>
      <c r="J1057" s="7">
        <f>IFERROR(__xludf.DUMMYFUNCTION("""COMPUTED_VALUE"""),44813.0)</f>
        <v>44813</v>
      </c>
      <c r="K1057" s="5" t="str">
        <f>IFERROR(__xludf.DUMMYFUNCTION("""COMPUTED_VALUE"""),"upper-middle-income")</f>
        <v>upper-middle-income</v>
      </c>
      <c r="L1057" s="5" t="str">
        <f>IFERROR(__xludf.DUMMYFUNCTION("""COMPUTED_VALUE"""),"Panama")</f>
        <v>Panama</v>
      </c>
      <c r="M1057" s="5" t="str">
        <f>IFERROR(__xludf.DUMMYFUNCTION("""COMPUTED_VALUE"""),"East Asia &amp; Pacific")</f>
        <v>East Asia &amp; Pacific</v>
      </c>
      <c r="N1057" s="5" t="str">
        <f>IFERROR(__xludf.DUMMYFUNCTION("""COMPUTED_VALUE"""),"Asia-Pacific")</f>
        <v>Asia-Pacific</v>
      </c>
      <c r="O1057" s="5" t="str">
        <f>IFERROR(__xludf.DUMMYFUNCTION("""COMPUTED_VALUE"""),"developing")</f>
        <v>developing</v>
      </c>
      <c r="P1057" s="5"/>
      <c r="Q1057" s="5" t="str">
        <f>IFERROR(__xludf.DUMMYFUNCTION("""COMPUTED_VALUE"""),"Stranded")</f>
        <v>Stranded</v>
      </c>
    </row>
    <row r="1058">
      <c r="A1058" s="5" t="str">
        <f>IFERROR(__xludf.DUMMYFUNCTION("""COMPUTED_VALUE"""),"Outbound")</f>
        <v>Outbound</v>
      </c>
      <c r="B1058" s="5">
        <f>IFERROR(__xludf.DUMMYFUNCTION("""COMPUTED_VALUE"""),86.0)</f>
        <v>86</v>
      </c>
      <c r="C1058" s="5" t="str">
        <f>IFERROR(__xludf.DUMMYFUNCTION("""COMPUTED_VALUE"""),"AFANASIY MATYSHENKO")</f>
        <v>AFANASIY MATYSHENKO</v>
      </c>
      <c r="D1058" s="5">
        <f>IFERROR(__xludf.DUMMYFUNCTION("""COMPUTED_VALUE"""),8227783.0)</f>
        <v>8227783</v>
      </c>
      <c r="E1058" s="5" t="str">
        <f>IFERROR(__xludf.DUMMYFUNCTION("""COMPUTED_VALUE"""),"Chornomorsk")</f>
        <v>Chornomorsk</v>
      </c>
      <c r="F1058" s="5" t="str">
        <f>IFERROR(__xludf.DUMMYFUNCTION("""COMPUTED_VALUE"""),"Türkiye")</f>
        <v>Türkiye</v>
      </c>
      <c r="G1058" s="5" t="str">
        <f>IFERROR(__xludf.DUMMYFUNCTION("""COMPUTED_VALUE"""),"Wheat")</f>
        <v>Wheat</v>
      </c>
      <c r="H1058" s="6">
        <f>IFERROR(__xludf.DUMMYFUNCTION("""COMPUTED_VALUE"""),3000.0)</f>
        <v>3000</v>
      </c>
      <c r="I1058" s="7">
        <f>IFERROR(__xludf.DUMMYFUNCTION("""COMPUTED_VALUE"""),44808.0)</f>
        <v>44808</v>
      </c>
      <c r="J1058" s="7">
        <f>IFERROR(__xludf.DUMMYFUNCTION("""COMPUTED_VALUE"""),44813.0)</f>
        <v>44813</v>
      </c>
      <c r="K1058" s="5" t="str">
        <f>IFERROR(__xludf.DUMMYFUNCTION("""COMPUTED_VALUE"""),"upper-middle-income")</f>
        <v>upper-middle-income</v>
      </c>
      <c r="L1058" s="5" t="str">
        <f>IFERROR(__xludf.DUMMYFUNCTION("""COMPUTED_VALUE"""),"Ukraine")</f>
        <v>Ukraine</v>
      </c>
      <c r="M1058" s="5" t="str">
        <f>IFERROR(__xludf.DUMMYFUNCTION("""COMPUTED_VALUE"""),"Europe &amp; Central Asia")</f>
        <v>Europe &amp; Central Asia</v>
      </c>
      <c r="N1058" s="5" t="str">
        <f>IFERROR(__xludf.DUMMYFUNCTION("""COMPUTED_VALUE"""),"Asia-Pacific")</f>
        <v>Asia-Pacific</v>
      </c>
      <c r="O1058" s="5" t="str">
        <f>IFERROR(__xludf.DUMMYFUNCTION("""COMPUTED_VALUE"""),"developing")</f>
        <v>developing</v>
      </c>
      <c r="P1058" s="5"/>
      <c r="Q1058" s="5" t="str">
        <f>IFERROR(__xludf.DUMMYFUNCTION("""COMPUTED_VALUE"""),"Stranded")</f>
        <v>Stranded</v>
      </c>
    </row>
    <row r="1059">
      <c r="A1059" s="5" t="str">
        <f>IFERROR(__xludf.DUMMYFUNCTION("""COMPUTED_VALUE"""),"Outbound")</f>
        <v>Outbound</v>
      </c>
      <c r="B1059" s="5">
        <f>IFERROR(__xludf.DUMMYFUNCTION("""COMPUTED_VALUE"""),85.0)</f>
        <v>85</v>
      </c>
      <c r="C1059" s="5" t="str">
        <f>IFERROR(__xludf.DUMMYFUNCTION("""COMPUTED_VALUE"""),"LADY PERLA")</f>
        <v>LADY PERLA</v>
      </c>
      <c r="D1059" s="5">
        <f>IFERROR(__xludf.DUMMYFUNCTION("""COMPUTED_VALUE"""),9149732.0)</f>
        <v>9149732</v>
      </c>
      <c r="E1059" s="5" t="str">
        <f>IFERROR(__xludf.DUMMYFUNCTION("""COMPUTED_VALUE"""),"Yuzhny/Pivdennyi")</f>
        <v>Yuzhny/Pivdennyi</v>
      </c>
      <c r="F1059" s="5" t="str">
        <f>IFERROR(__xludf.DUMMYFUNCTION("""COMPUTED_VALUE"""),"Italy")</f>
        <v>Italy</v>
      </c>
      <c r="G1059" s="5" t="str">
        <f>IFERROR(__xludf.DUMMYFUNCTION("""COMPUTED_VALUE"""),"Corn")</f>
        <v>Corn</v>
      </c>
      <c r="H1059" s="6">
        <f>IFERROR(__xludf.DUMMYFUNCTION("""COMPUTED_VALUE"""),20500.0)</f>
        <v>20500</v>
      </c>
      <c r="I1059" s="7">
        <f>IFERROR(__xludf.DUMMYFUNCTION("""COMPUTED_VALUE"""),44808.0)</f>
        <v>44808</v>
      </c>
      <c r="J1059" s="7">
        <f>IFERROR(__xludf.DUMMYFUNCTION("""COMPUTED_VALUE"""),44811.0)</f>
        <v>44811</v>
      </c>
      <c r="K1059" s="5" t="str">
        <f>IFERROR(__xludf.DUMMYFUNCTION("""COMPUTED_VALUE"""),"high-income")</f>
        <v>high-income</v>
      </c>
      <c r="L1059" s="5" t="str">
        <f>IFERROR(__xludf.DUMMYFUNCTION("""COMPUTED_VALUE"""),"Liberia")</f>
        <v>Liberia</v>
      </c>
      <c r="M1059" s="5" t="str">
        <f>IFERROR(__xludf.DUMMYFUNCTION("""COMPUTED_VALUE"""),"Europe &amp; Central Asia")</f>
        <v>Europe &amp; Central Asia</v>
      </c>
      <c r="N1059" s="5" t="str">
        <f>IFERROR(__xludf.DUMMYFUNCTION("""COMPUTED_VALUE"""),"Western Europe and Others")</f>
        <v>Western Europe and Others</v>
      </c>
      <c r="O1059" s="5" t="str">
        <f>IFERROR(__xludf.DUMMYFUNCTION("""COMPUTED_VALUE"""),"developed")</f>
        <v>developed</v>
      </c>
      <c r="P1059" s="5"/>
      <c r="Q1059" s="5"/>
    </row>
    <row r="1060">
      <c r="A1060" s="5" t="str">
        <f>IFERROR(__xludf.DUMMYFUNCTION("""COMPUTED_VALUE"""),"Outbound")</f>
        <v>Outbound</v>
      </c>
      <c r="B1060" s="5">
        <f>IFERROR(__xludf.DUMMYFUNCTION("""COMPUTED_VALUE"""),84.0)</f>
        <v>84</v>
      </c>
      <c r="C1060" s="5" t="str">
        <f>IFERROR(__xludf.DUMMYFUNCTION("""COMPUTED_VALUE"""),"MRC LINA")</f>
        <v>MRC LINA</v>
      </c>
      <c r="D1060" s="5">
        <f>IFERROR(__xludf.DUMMYFUNCTION("""COMPUTED_VALUE"""),9462299.0)</f>
        <v>9462299</v>
      </c>
      <c r="E1060" s="5" t="str">
        <f>IFERROR(__xludf.DUMMYFUNCTION("""COMPUTED_VALUE"""),"Yuzhny/Pivdennyi")</f>
        <v>Yuzhny/Pivdennyi</v>
      </c>
      <c r="F1060" s="5" t="str">
        <f>IFERROR(__xludf.DUMMYFUNCTION("""COMPUTED_VALUE"""),"Türkiye")</f>
        <v>Türkiye</v>
      </c>
      <c r="G1060" s="5" t="str">
        <f>IFERROR(__xludf.DUMMYFUNCTION("""COMPUTED_VALUE"""),"Sunflower oil")</f>
        <v>Sunflower oil</v>
      </c>
      <c r="H1060" s="6">
        <f>IFERROR(__xludf.DUMMYFUNCTION("""COMPUTED_VALUE"""),7800.0)</f>
        <v>7800</v>
      </c>
      <c r="I1060" s="7">
        <f>IFERROR(__xludf.DUMMYFUNCTION("""COMPUTED_VALUE"""),44808.0)</f>
        <v>44808</v>
      </c>
      <c r="J1060" s="7">
        <f>IFERROR(__xludf.DUMMYFUNCTION("""COMPUTED_VALUE"""),44811.0)</f>
        <v>44811</v>
      </c>
      <c r="K1060" s="5" t="str">
        <f>IFERROR(__xludf.DUMMYFUNCTION("""COMPUTED_VALUE"""),"upper-middle-income")</f>
        <v>upper-middle-income</v>
      </c>
      <c r="L1060" s="5" t="str">
        <f>IFERROR(__xludf.DUMMYFUNCTION("""COMPUTED_VALUE"""),"Malta")</f>
        <v>Malta</v>
      </c>
      <c r="M1060" s="5" t="str">
        <f>IFERROR(__xludf.DUMMYFUNCTION("""COMPUTED_VALUE"""),"Europe &amp; Central Asia")</f>
        <v>Europe &amp; Central Asia</v>
      </c>
      <c r="N1060" s="5" t="str">
        <f>IFERROR(__xludf.DUMMYFUNCTION("""COMPUTED_VALUE"""),"Asia-Pacific")</f>
        <v>Asia-Pacific</v>
      </c>
      <c r="O1060" s="5" t="str">
        <f>IFERROR(__xludf.DUMMYFUNCTION("""COMPUTED_VALUE"""),"developing")</f>
        <v>developing</v>
      </c>
      <c r="P1060" s="5"/>
      <c r="Q1060" s="5"/>
    </row>
    <row r="1061">
      <c r="A1061" s="5" t="str">
        <f>IFERROR(__xludf.DUMMYFUNCTION("""COMPUTED_VALUE"""),"Outbound")</f>
        <v>Outbound</v>
      </c>
      <c r="B1061" s="5">
        <f>IFERROR(__xludf.DUMMYFUNCTION("""COMPUTED_VALUE"""),83.0)</f>
        <v>83</v>
      </c>
      <c r="C1061" s="5" t="str">
        <f>IFERROR(__xludf.DUMMYFUNCTION("""COMPUTED_VALUE"""),"BC CALLISTO")</f>
        <v>BC CALLISTO</v>
      </c>
      <c r="D1061" s="5">
        <f>IFERROR(__xludf.DUMMYFUNCTION("""COMPUTED_VALUE"""),9400916.0)</f>
        <v>9400916</v>
      </c>
      <c r="E1061" s="5" t="str">
        <f>IFERROR(__xludf.DUMMYFUNCTION("""COMPUTED_VALUE"""),"Chornomorsk")</f>
        <v>Chornomorsk</v>
      </c>
      <c r="F1061" s="5" t="str">
        <f>IFERROR(__xludf.DUMMYFUNCTION("""COMPUTED_VALUE"""),"Egypt")</f>
        <v>Egypt</v>
      </c>
      <c r="G1061" s="5" t="str">
        <f>IFERROR(__xludf.DUMMYFUNCTION("""COMPUTED_VALUE"""),"Wheat")</f>
        <v>Wheat</v>
      </c>
      <c r="H1061" s="6">
        <f>IFERROR(__xludf.DUMMYFUNCTION("""COMPUTED_VALUE"""),31400.0)</f>
        <v>31400</v>
      </c>
      <c r="I1061" s="7">
        <f>IFERROR(__xludf.DUMMYFUNCTION("""COMPUTED_VALUE"""),44808.0)</f>
        <v>44808</v>
      </c>
      <c r="J1061" s="7">
        <f>IFERROR(__xludf.DUMMYFUNCTION("""COMPUTED_VALUE"""),44813.0)</f>
        <v>44813</v>
      </c>
      <c r="K1061" s="5" t="str">
        <f>IFERROR(__xludf.DUMMYFUNCTION("""COMPUTED_VALUE"""),"lower-middle income")</f>
        <v>lower-middle income</v>
      </c>
      <c r="L1061" s="5" t="str">
        <f>IFERROR(__xludf.DUMMYFUNCTION("""COMPUTED_VALUE"""),"Barbados")</f>
        <v>Barbados</v>
      </c>
      <c r="M1061" s="5" t="str">
        <f>IFERROR(__xludf.DUMMYFUNCTION("""COMPUTED_VALUE"""),"Middle East &amp; North Africa")</f>
        <v>Middle East &amp; North Africa</v>
      </c>
      <c r="N1061" s="5" t="str">
        <f>IFERROR(__xludf.DUMMYFUNCTION("""COMPUTED_VALUE"""),"Africa")</f>
        <v>Africa</v>
      </c>
      <c r="O1061" s="5" t="str">
        <f>IFERROR(__xludf.DUMMYFUNCTION("""COMPUTED_VALUE"""),"developing")</f>
        <v>developing</v>
      </c>
      <c r="P1061" s="5"/>
      <c r="Q1061" s="5"/>
    </row>
    <row r="1062">
      <c r="A1062" s="5" t="str">
        <f>IFERROR(__xludf.DUMMYFUNCTION("""COMPUTED_VALUE"""),"Outbound")</f>
        <v>Outbound</v>
      </c>
      <c r="B1062" s="5">
        <f>IFERROR(__xludf.DUMMYFUNCTION("""COMPUTED_VALUE"""),82.0)</f>
        <v>82</v>
      </c>
      <c r="C1062" s="5" t="str">
        <f>IFERROR(__xludf.DUMMYFUNCTION("""COMPUTED_VALUE"""),"GEN. POLAD HASHIMOV")</f>
        <v>GEN. POLAD HASHIMOV</v>
      </c>
      <c r="D1062" s="5">
        <f>IFERROR(__xludf.DUMMYFUNCTION("""COMPUTED_VALUE"""),9575307.0)</f>
        <v>9575307</v>
      </c>
      <c r="E1062" s="5" t="str">
        <f>IFERROR(__xludf.DUMMYFUNCTION("""COMPUTED_VALUE"""),"Chornomorsk")</f>
        <v>Chornomorsk</v>
      </c>
      <c r="F1062" s="5" t="str">
        <f>IFERROR(__xludf.DUMMYFUNCTION("""COMPUTED_VALUE"""),"Türkiye")</f>
        <v>Türkiye</v>
      </c>
      <c r="G1062" s="5" t="str">
        <f>IFERROR(__xludf.DUMMYFUNCTION("""COMPUTED_VALUE"""),"Sunflower oil")</f>
        <v>Sunflower oil</v>
      </c>
      <c r="H1062" s="6">
        <f>IFERROR(__xludf.DUMMYFUNCTION("""COMPUTED_VALUE"""),6450.0)</f>
        <v>6450</v>
      </c>
      <c r="I1062" s="7">
        <f>IFERROR(__xludf.DUMMYFUNCTION("""COMPUTED_VALUE"""),44808.0)</f>
        <v>44808</v>
      </c>
      <c r="J1062" s="7">
        <f>IFERROR(__xludf.DUMMYFUNCTION("""COMPUTED_VALUE"""),44811.0)</f>
        <v>44811</v>
      </c>
      <c r="K1062" s="5" t="str">
        <f>IFERROR(__xludf.DUMMYFUNCTION("""COMPUTED_VALUE"""),"upper-middle-income")</f>
        <v>upper-middle-income</v>
      </c>
      <c r="L1062" s="5" t="str">
        <f>IFERROR(__xludf.DUMMYFUNCTION("""COMPUTED_VALUE"""),"Liberia")</f>
        <v>Liberia</v>
      </c>
      <c r="M1062" s="5" t="str">
        <f>IFERROR(__xludf.DUMMYFUNCTION("""COMPUTED_VALUE"""),"Europe &amp; Central Asia")</f>
        <v>Europe &amp; Central Asia</v>
      </c>
      <c r="N1062" s="5" t="str">
        <f>IFERROR(__xludf.DUMMYFUNCTION("""COMPUTED_VALUE"""),"Asia-Pacific")</f>
        <v>Asia-Pacific</v>
      </c>
      <c r="O1062" s="5" t="str">
        <f>IFERROR(__xludf.DUMMYFUNCTION("""COMPUTED_VALUE"""),"developing")</f>
        <v>developing</v>
      </c>
      <c r="P1062" s="5"/>
      <c r="Q1062" s="5"/>
    </row>
    <row r="1063">
      <c r="A1063" s="5" t="str">
        <f>IFERROR(__xludf.DUMMYFUNCTION("""COMPUTED_VALUE"""),"Outbound")</f>
        <v>Outbound</v>
      </c>
      <c r="B1063" s="5">
        <f>IFERROR(__xludf.DUMMYFUNCTION("""COMPUTED_VALUE"""),81.0)</f>
        <v>81</v>
      </c>
      <c r="C1063" s="5" t="str">
        <f>IFERROR(__xludf.DUMMYFUNCTION("""COMPUTED_VALUE"""),"MAINA")</f>
        <v>MAINA</v>
      </c>
      <c r="D1063" s="5">
        <f>IFERROR(__xludf.DUMMYFUNCTION("""COMPUTED_VALUE"""),9699892.0)</f>
        <v>9699892</v>
      </c>
      <c r="E1063" s="5" t="str">
        <f>IFERROR(__xludf.DUMMYFUNCTION("""COMPUTED_VALUE"""),"Yuzhny/Pivdennyi")</f>
        <v>Yuzhny/Pivdennyi</v>
      </c>
      <c r="F1063" s="5" t="str">
        <f>IFERROR(__xludf.DUMMYFUNCTION("""COMPUTED_VALUE"""),"Spain")</f>
        <v>Spain</v>
      </c>
      <c r="G1063" s="5" t="str">
        <f>IFERROR(__xludf.DUMMYFUNCTION("""COMPUTED_VALUE"""),"Corn")</f>
        <v>Corn</v>
      </c>
      <c r="H1063" s="6">
        <f>IFERROR(__xludf.DUMMYFUNCTION("""COMPUTED_VALUE"""),56500.0)</f>
        <v>56500</v>
      </c>
      <c r="I1063" s="7">
        <f>IFERROR(__xludf.DUMMYFUNCTION("""COMPUTED_VALUE"""),44808.0)</f>
        <v>44808</v>
      </c>
      <c r="J1063" s="7">
        <f>IFERROR(__xludf.DUMMYFUNCTION("""COMPUTED_VALUE"""),44811.0)</f>
        <v>44811</v>
      </c>
      <c r="K1063" s="5" t="str">
        <f>IFERROR(__xludf.DUMMYFUNCTION("""COMPUTED_VALUE"""),"high-income")</f>
        <v>high-income</v>
      </c>
      <c r="L1063" s="5" t="str">
        <f>IFERROR(__xludf.DUMMYFUNCTION("""COMPUTED_VALUE"""),"Malta")</f>
        <v>Malta</v>
      </c>
      <c r="M1063" s="5" t="str">
        <f>IFERROR(__xludf.DUMMYFUNCTION("""COMPUTED_VALUE"""),"Europe &amp; Central Asia")</f>
        <v>Europe &amp; Central Asia</v>
      </c>
      <c r="N1063" s="5" t="str">
        <f>IFERROR(__xludf.DUMMYFUNCTION("""COMPUTED_VALUE"""),"Western Europe and Others")</f>
        <v>Western Europe and Others</v>
      </c>
      <c r="O1063" s="5" t="str">
        <f>IFERROR(__xludf.DUMMYFUNCTION("""COMPUTED_VALUE"""),"developed")</f>
        <v>developed</v>
      </c>
      <c r="P1063" s="5"/>
      <c r="Q1063" s="5"/>
    </row>
    <row r="1064">
      <c r="A1064" s="5" t="str">
        <f>IFERROR(__xludf.DUMMYFUNCTION("""COMPUTED_VALUE"""),"Outbound")</f>
        <v>Outbound</v>
      </c>
      <c r="B1064" s="5">
        <f>IFERROR(__xludf.DUMMYFUNCTION("""COMPUTED_VALUE"""),80.0)</f>
        <v>80</v>
      </c>
      <c r="C1064" s="5" t="str">
        <f>IFERROR(__xludf.DUMMYFUNCTION("""COMPUTED_VALUE"""),"MUBARIZ IBRAHIMOV")</f>
        <v>MUBARIZ IBRAHIMOV</v>
      </c>
      <c r="D1064" s="5">
        <f>IFERROR(__xludf.DUMMYFUNCTION("""COMPUTED_VALUE"""),9575292.0)</f>
        <v>9575292</v>
      </c>
      <c r="E1064" s="5" t="str">
        <f>IFERROR(__xludf.DUMMYFUNCTION("""COMPUTED_VALUE"""),"Odesa")</f>
        <v>Odesa</v>
      </c>
      <c r="F1064" s="5" t="str">
        <f>IFERROR(__xludf.DUMMYFUNCTION("""COMPUTED_VALUE"""),"Türkiye")</f>
        <v>Türkiye</v>
      </c>
      <c r="G1064" s="5" t="str">
        <f>IFERROR(__xludf.DUMMYFUNCTION("""COMPUTED_VALUE"""),"Sunflower oil")</f>
        <v>Sunflower oil</v>
      </c>
      <c r="H1064" s="6">
        <f>IFERROR(__xludf.DUMMYFUNCTION("""COMPUTED_VALUE"""),6600.0)</f>
        <v>6600</v>
      </c>
      <c r="I1064" s="7">
        <f>IFERROR(__xludf.DUMMYFUNCTION("""COMPUTED_VALUE"""),44808.0)</f>
        <v>44808</v>
      </c>
      <c r="J1064" s="7">
        <f>IFERROR(__xludf.DUMMYFUNCTION("""COMPUTED_VALUE"""),44813.0)</f>
        <v>44813</v>
      </c>
      <c r="K1064" s="5" t="str">
        <f>IFERROR(__xludf.DUMMYFUNCTION("""COMPUTED_VALUE"""),"upper-middle-income")</f>
        <v>upper-middle-income</v>
      </c>
      <c r="L1064" s="5" t="str">
        <f>IFERROR(__xludf.DUMMYFUNCTION("""COMPUTED_VALUE"""),"Liberia")</f>
        <v>Liberia</v>
      </c>
      <c r="M1064" s="5" t="str">
        <f>IFERROR(__xludf.DUMMYFUNCTION("""COMPUTED_VALUE"""),"Europe &amp; Central Asia")</f>
        <v>Europe &amp; Central Asia</v>
      </c>
      <c r="N1064" s="5" t="str">
        <f>IFERROR(__xludf.DUMMYFUNCTION("""COMPUTED_VALUE"""),"Asia-Pacific")</f>
        <v>Asia-Pacific</v>
      </c>
      <c r="O1064" s="5" t="str">
        <f>IFERROR(__xludf.DUMMYFUNCTION("""COMPUTED_VALUE"""),"developing")</f>
        <v>developing</v>
      </c>
      <c r="P1064" s="5"/>
      <c r="Q1064" s="5"/>
    </row>
    <row r="1065">
      <c r="A1065" s="5" t="str">
        <f>IFERROR(__xludf.DUMMYFUNCTION("""COMPUTED_VALUE"""),"Outbound")</f>
        <v>Outbound</v>
      </c>
      <c r="B1065" s="5">
        <f>IFERROR(__xludf.DUMMYFUNCTION("""COMPUTED_VALUE"""),79.0)</f>
        <v>79</v>
      </c>
      <c r="C1065" s="5" t="str">
        <f>IFERROR(__xludf.DUMMYFUNCTION("""COMPUTED_VALUE"""),"SEALOCK")</f>
        <v>SEALOCK</v>
      </c>
      <c r="D1065" s="5">
        <f>IFERROR(__xludf.DUMMYFUNCTION("""COMPUTED_VALUE"""),8218380.0)</f>
        <v>8218380</v>
      </c>
      <c r="E1065" s="5" t="str">
        <f>IFERROR(__xludf.DUMMYFUNCTION("""COMPUTED_VALUE"""),"Chornomorsk")</f>
        <v>Chornomorsk</v>
      </c>
      <c r="F1065" s="5" t="str">
        <f>IFERROR(__xludf.DUMMYFUNCTION("""COMPUTED_VALUE"""),"Türkiye")</f>
        <v>Türkiye</v>
      </c>
      <c r="G1065" s="5" t="str">
        <f>IFERROR(__xludf.DUMMYFUNCTION("""COMPUTED_VALUE"""),"Peas")</f>
        <v>Peas</v>
      </c>
      <c r="H1065" s="6">
        <f>IFERROR(__xludf.DUMMYFUNCTION("""COMPUTED_VALUE"""),2070.0)</f>
        <v>2070</v>
      </c>
      <c r="I1065" s="7">
        <f>IFERROR(__xludf.DUMMYFUNCTION("""COMPUTED_VALUE"""),44808.0)</f>
        <v>44808</v>
      </c>
      <c r="J1065" s="7">
        <f>IFERROR(__xludf.DUMMYFUNCTION("""COMPUTED_VALUE"""),44813.0)</f>
        <v>44813</v>
      </c>
      <c r="K1065" s="5" t="str">
        <f>IFERROR(__xludf.DUMMYFUNCTION("""COMPUTED_VALUE"""),"upper-middle-income")</f>
        <v>upper-middle-income</v>
      </c>
      <c r="L1065" s="5" t="str">
        <f>IFERROR(__xludf.DUMMYFUNCTION("""COMPUTED_VALUE"""),"Tanzania")</f>
        <v>Tanzania</v>
      </c>
      <c r="M1065" s="5" t="str">
        <f>IFERROR(__xludf.DUMMYFUNCTION("""COMPUTED_VALUE"""),"Europe &amp; Central Asia")</f>
        <v>Europe &amp; Central Asia</v>
      </c>
      <c r="N1065" s="5" t="str">
        <f>IFERROR(__xludf.DUMMYFUNCTION("""COMPUTED_VALUE"""),"Asia-Pacific")</f>
        <v>Asia-Pacific</v>
      </c>
      <c r="O1065" s="5" t="str">
        <f>IFERROR(__xludf.DUMMYFUNCTION("""COMPUTED_VALUE"""),"developing")</f>
        <v>developing</v>
      </c>
      <c r="P1065" s="5"/>
      <c r="Q1065" s="5"/>
    </row>
    <row r="1066">
      <c r="A1066" s="5" t="str">
        <f>IFERROR(__xludf.DUMMYFUNCTION("""COMPUTED_VALUE"""),"Outbound")</f>
        <v>Outbound</v>
      </c>
      <c r="B1066" s="5">
        <f>IFERROR(__xludf.DUMMYFUNCTION("""COMPUTED_VALUE"""),78.0)</f>
        <v>78</v>
      </c>
      <c r="C1066" s="5" t="str">
        <f>IFERROR(__xludf.DUMMYFUNCTION("""COMPUTED_VALUE"""),"SEA DOLPHIN C")</f>
        <v>SEA DOLPHIN C</v>
      </c>
      <c r="D1066" s="5">
        <f>IFERROR(__xludf.DUMMYFUNCTION("""COMPUTED_VALUE"""),9486427.0)</f>
        <v>9486427</v>
      </c>
      <c r="E1066" s="5" t="str">
        <f>IFERROR(__xludf.DUMMYFUNCTION("""COMPUTED_VALUE"""),"Yuzhny/Pivdennyi")</f>
        <v>Yuzhny/Pivdennyi</v>
      </c>
      <c r="F1066" s="5" t="str">
        <f>IFERROR(__xludf.DUMMYFUNCTION("""COMPUTED_VALUE"""),"The Netherlands")</f>
        <v>The Netherlands</v>
      </c>
      <c r="G1066" s="5" t="str">
        <f>IFERROR(__xludf.DUMMYFUNCTION("""COMPUTED_VALUE"""),"Rapeseed")</f>
        <v>Rapeseed</v>
      </c>
      <c r="H1066" s="6">
        <f>IFERROR(__xludf.DUMMYFUNCTION("""COMPUTED_VALUE"""),31098.0)</f>
        <v>31098</v>
      </c>
      <c r="I1066" s="7">
        <f>IFERROR(__xludf.DUMMYFUNCTION("""COMPUTED_VALUE"""),44808.0)</f>
        <v>44808</v>
      </c>
      <c r="J1066" s="7">
        <f>IFERROR(__xludf.DUMMYFUNCTION("""COMPUTED_VALUE"""),44810.0)</f>
        <v>44810</v>
      </c>
      <c r="K1066" s="5" t="str">
        <f>IFERROR(__xludf.DUMMYFUNCTION("""COMPUTED_VALUE"""),"high-income")</f>
        <v>high-income</v>
      </c>
      <c r="L1066" s="5" t="str">
        <f>IFERROR(__xludf.DUMMYFUNCTION("""COMPUTED_VALUE"""),"Portugal")</f>
        <v>Portugal</v>
      </c>
      <c r="M1066" s="5" t="str">
        <f>IFERROR(__xludf.DUMMYFUNCTION("""COMPUTED_VALUE"""),"Europe &amp; Central Asia")</f>
        <v>Europe &amp; Central Asia</v>
      </c>
      <c r="N1066" s="5" t="str">
        <f>IFERROR(__xludf.DUMMYFUNCTION("""COMPUTED_VALUE"""),"Western Europe and Others")</f>
        <v>Western Europe and Others</v>
      </c>
      <c r="O1066" s="5" t="str">
        <f>IFERROR(__xludf.DUMMYFUNCTION("""COMPUTED_VALUE"""),"developed")</f>
        <v>developed</v>
      </c>
      <c r="P1066" s="5"/>
      <c r="Q1066" s="5"/>
    </row>
    <row r="1067">
      <c r="A1067" s="5" t="str">
        <f>IFERROR(__xludf.DUMMYFUNCTION("""COMPUTED_VALUE"""),"Outbound")</f>
        <v>Outbound</v>
      </c>
      <c r="B1067" s="5">
        <f>IFERROR(__xludf.DUMMYFUNCTION("""COMPUTED_VALUE"""),77.0)</f>
        <v>77</v>
      </c>
      <c r="C1067" s="5" t="str">
        <f>IFERROR(__xludf.DUMMYFUNCTION("""COMPUTED_VALUE"""),"CANOPUS")</f>
        <v>CANOPUS</v>
      </c>
      <c r="D1067" s="5">
        <f>IFERROR(__xludf.DUMMYFUNCTION("""COMPUTED_VALUE"""),9401025.0)</f>
        <v>9401025</v>
      </c>
      <c r="E1067" s="5" t="str">
        <f>IFERROR(__xludf.DUMMYFUNCTION("""COMPUTED_VALUE"""),"Yuzhny/Pivdennyi")</f>
        <v>Yuzhny/Pivdennyi</v>
      </c>
      <c r="F1067" s="5" t="str">
        <f>IFERROR(__xludf.DUMMYFUNCTION("""COMPUTED_VALUE"""),"India")</f>
        <v>India</v>
      </c>
      <c r="G1067" s="5" t="str">
        <f>IFERROR(__xludf.DUMMYFUNCTION("""COMPUTED_VALUE"""),"Sunflower oil")</f>
        <v>Sunflower oil</v>
      </c>
      <c r="H1067" s="6">
        <f>IFERROR(__xludf.DUMMYFUNCTION("""COMPUTED_VALUE"""),42000.0)</f>
        <v>42000</v>
      </c>
      <c r="I1067" s="7">
        <f>IFERROR(__xludf.DUMMYFUNCTION("""COMPUTED_VALUE"""),44808.0)</f>
        <v>44808</v>
      </c>
      <c r="J1067" s="7">
        <f>IFERROR(__xludf.DUMMYFUNCTION("""COMPUTED_VALUE"""),44810.0)</f>
        <v>44810</v>
      </c>
      <c r="K1067" s="5" t="str">
        <f>IFERROR(__xludf.DUMMYFUNCTION("""COMPUTED_VALUE"""),"lower-middle income")</f>
        <v>lower-middle income</v>
      </c>
      <c r="L1067" s="5" t="str">
        <f>IFERROR(__xludf.DUMMYFUNCTION("""COMPUTED_VALUE"""),"Hong Kong")</f>
        <v>Hong Kong</v>
      </c>
      <c r="M1067" s="5" t="str">
        <f>IFERROR(__xludf.DUMMYFUNCTION("""COMPUTED_VALUE"""),"South Asia")</f>
        <v>South Asia</v>
      </c>
      <c r="N1067" s="5" t="str">
        <f>IFERROR(__xludf.DUMMYFUNCTION("""COMPUTED_VALUE"""),"Asia-Pacific")</f>
        <v>Asia-Pacific</v>
      </c>
      <c r="O1067" s="5" t="str">
        <f>IFERROR(__xludf.DUMMYFUNCTION("""COMPUTED_VALUE"""),"developing")</f>
        <v>developing</v>
      </c>
      <c r="P1067" s="5"/>
      <c r="Q1067" s="5"/>
    </row>
    <row r="1068">
      <c r="A1068" s="5" t="str">
        <f>IFERROR(__xludf.DUMMYFUNCTION("""COMPUTED_VALUE"""),"Outbound")</f>
        <v>Outbound</v>
      </c>
      <c r="B1068" s="5">
        <f>IFERROR(__xludf.DUMMYFUNCTION("""COMPUTED_VALUE"""),76.0)</f>
        <v>76</v>
      </c>
      <c r="C1068" s="5" t="str">
        <f>IFERROR(__xludf.DUMMYFUNCTION("""COMPUTED_VALUE"""),"LADY EVA")</f>
        <v>LADY EVA</v>
      </c>
      <c r="D1068" s="5">
        <f>IFERROR(__xludf.DUMMYFUNCTION("""COMPUTED_VALUE"""),9008110.0)</f>
        <v>9008110</v>
      </c>
      <c r="E1068" s="5" t="str">
        <f>IFERROR(__xludf.DUMMYFUNCTION("""COMPUTED_VALUE"""),"Chornomorsk")</f>
        <v>Chornomorsk</v>
      </c>
      <c r="F1068" s="5" t="str">
        <f>IFERROR(__xludf.DUMMYFUNCTION("""COMPUTED_VALUE"""),"Greece")</f>
        <v>Greece</v>
      </c>
      <c r="G1068" s="5" t="str">
        <f>IFERROR(__xludf.DUMMYFUNCTION("""COMPUTED_VALUE"""),"Wheat")</f>
        <v>Wheat</v>
      </c>
      <c r="H1068" s="6">
        <f>IFERROR(__xludf.DUMMYFUNCTION("""COMPUTED_VALUE"""),6117.0)</f>
        <v>6117</v>
      </c>
      <c r="I1068" s="7">
        <f>IFERROR(__xludf.DUMMYFUNCTION("""COMPUTED_VALUE"""),44808.0)</f>
        <v>44808</v>
      </c>
      <c r="J1068" s="7">
        <f>IFERROR(__xludf.DUMMYFUNCTION("""COMPUTED_VALUE"""),44811.0)</f>
        <v>44811</v>
      </c>
      <c r="K1068" s="5" t="str">
        <f>IFERROR(__xludf.DUMMYFUNCTION("""COMPUTED_VALUE"""),"high-income")</f>
        <v>high-income</v>
      </c>
      <c r="L1068" s="5" t="str">
        <f>IFERROR(__xludf.DUMMYFUNCTION("""COMPUTED_VALUE"""),"Togo")</f>
        <v>Togo</v>
      </c>
      <c r="M1068" s="5" t="str">
        <f>IFERROR(__xludf.DUMMYFUNCTION("""COMPUTED_VALUE"""),"Europe &amp; Central Asia")</f>
        <v>Europe &amp; Central Asia</v>
      </c>
      <c r="N1068" s="5" t="str">
        <f>IFERROR(__xludf.DUMMYFUNCTION("""COMPUTED_VALUE"""),"Western Europe and Others")</f>
        <v>Western Europe and Others</v>
      </c>
      <c r="O1068" s="5" t="str">
        <f>IFERROR(__xludf.DUMMYFUNCTION("""COMPUTED_VALUE"""),"developed")</f>
        <v>developed</v>
      </c>
      <c r="P1068" s="5"/>
      <c r="Q1068" s="5"/>
    </row>
    <row r="1069">
      <c r="A1069" s="5" t="str">
        <f>IFERROR(__xludf.DUMMYFUNCTION("""COMPUTED_VALUE"""),"Outbound")</f>
        <v>Outbound</v>
      </c>
      <c r="B1069" s="5">
        <f>IFERROR(__xludf.DUMMYFUNCTION("""COMPUTED_VALUE"""),75.0)</f>
        <v>75</v>
      </c>
      <c r="C1069" s="5" t="str">
        <f>IFERROR(__xludf.DUMMYFUNCTION("""COMPUTED_VALUE"""),"SARA")</f>
        <v>SARA</v>
      </c>
      <c r="D1069" s="5">
        <f>IFERROR(__xludf.DUMMYFUNCTION("""COMPUTED_VALUE"""),9259020.0)</f>
        <v>9259020</v>
      </c>
      <c r="E1069" s="5" t="str">
        <f>IFERROR(__xludf.DUMMYFUNCTION("""COMPUTED_VALUE"""),"Odesa")</f>
        <v>Odesa</v>
      </c>
      <c r="F1069" s="5" t="str">
        <f>IFERROR(__xludf.DUMMYFUNCTION("""COMPUTED_VALUE"""),"Türkiye")</f>
        <v>Türkiye</v>
      </c>
      <c r="G1069" s="5" t="str">
        <f>IFERROR(__xludf.DUMMYFUNCTION("""COMPUTED_VALUE"""),"Wheat")</f>
        <v>Wheat</v>
      </c>
      <c r="H1069" s="6">
        <f>IFERROR(__xludf.DUMMYFUNCTION("""COMPUTED_VALUE"""),6600.0)</f>
        <v>6600</v>
      </c>
      <c r="I1069" s="7">
        <f>IFERROR(__xludf.DUMMYFUNCTION("""COMPUTED_VALUE"""),44807.0)</f>
        <v>44807</v>
      </c>
      <c r="J1069" s="7">
        <f>IFERROR(__xludf.DUMMYFUNCTION("""COMPUTED_VALUE"""),44811.0)</f>
        <v>44811</v>
      </c>
      <c r="K1069" s="5" t="str">
        <f>IFERROR(__xludf.DUMMYFUNCTION("""COMPUTED_VALUE"""),"upper-middle-income")</f>
        <v>upper-middle-income</v>
      </c>
      <c r="L1069" s="5" t="str">
        <f>IFERROR(__xludf.DUMMYFUNCTION("""COMPUTED_VALUE"""),"Palau")</f>
        <v>Palau</v>
      </c>
      <c r="M1069" s="5" t="str">
        <f>IFERROR(__xludf.DUMMYFUNCTION("""COMPUTED_VALUE"""),"Europe &amp; Central Asia")</f>
        <v>Europe &amp; Central Asia</v>
      </c>
      <c r="N1069" s="5" t="str">
        <f>IFERROR(__xludf.DUMMYFUNCTION("""COMPUTED_VALUE"""),"Asia-Pacific")</f>
        <v>Asia-Pacific</v>
      </c>
      <c r="O1069" s="5" t="str">
        <f>IFERROR(__xludf.DUMMYFUNCTION("""COMPUTED_VALUE"""),"developing")</f>
        <v>developing</v>
      </c>
      <c r="P1069" s="5"/>
      <c r="Q1069" s="5"/>
    </row>
    <row r="1070">
      <c r="A1070" s="5" t="str">
        <f>IFERROR(__xludf.DUMMYFUNCTION("""COMPUTED_VALUE"""),"Outbound")</f>
        <v>Outbound</v>
      </c>
      <c r="B1070" s="5">
        <f>IFERROR(__xludf.DUMMYFUNCTION("""COMPUTED_VALUE"""),74.0)</f>
        <v>74</v>
      </c>
      <c r="C1070" s="5" t="str">
        <f>IFERROR(__xludf.DUMMYFUNCTION("""COMPUTED_VALUE"""),"FULMAR S")</f>
        <v>FULMAR S</v>
      </c>
      <c r="D1070" s="5">
        <f>IFERROR(__xludf.DUMMYFUNCTION("""COMPUTED_VALUE"""),9370082.0)</f>
        <v>9370082</v>
      </c>
      <c r="E1070" s="5" t="str">
        <f>IFERROR(__xludf.DUMMYFUNCTION("""COMPUTED_VALUE"""),"Yuzhny/Pivdennyi")</f>
        <v>Yuzhny/Pivdennyi</v>
      </c>
      <c r="F1070" s="5" t="str">
        <f>IFERROR(__xludf.DUMMYFUNCTION("""COMPUTED_VALUE"""),"Bulgaria")</f>
        <v>Bulgaria</v>
      </c>
      <c r="G1070" s="5" t="str">
        <f>IFERROR(__xludf.DUMMYFUNCTION("""COMPUTED_VALUE"""),"Sunflower meal")</f>
        <v>Sunflower meal</v>
      </c>
      <c r="H1070" s="6">
        <f>IFERROR(__xludf.DUMMYFUNCTION("""COMPUTED_VALUE"""),9835.0)</f>
        <v>9835</v>
      </c>
      <c r="I1070" s="7">
        <f>IFERROR(__xludf.DUMMYFUNCTION("""COMPUTED_VALUE"""),44806.0)</f>
        <v>44806</v>
      </c>
      <c r="J1070" s="7">
        <f>IFERROR(__xludf.DUMMYFUNCTION("""COMPUTED_VALUE"""),44809.0)</f>
        <v>44809</v>
      </c>
      <c r="K1070" s="5" t="str">
        <f>IFERROR(__xludf.DUMMYFUNCTION("""COMPUTED_VALUE"""),"upper-middle-income")</f>
        <v>upper-middle-income</v>
      </c>
      <c r="L1070" s="5" t="str">
        <f>IFERROR(__xludf.DUMMYFUNCTION("""COMPUTED_VALUE"""),"Barbados")</f>
        <v>Barbados</v>
      </c>
      <c r="M1070" s="5" t="str">
        <f>IFERROR(__xludf.DUMMYFUNCTION("""COMPUTED_VALUE"""),"Europe &amp; Central Asia")</f>
        <v>Europe &amp; Central Asia</v>
      </c>
      <c r="N1070" s="5" t="str">
        <f>IFERROR(__xludf.DUMMYFUNCTION("""COMPUTED_VALUE"""),"Eastern Europe")</f>
        <v>Eastern Europe</v>
      </c>
      <c r="O1070" s="5" t="str">
        <f>IFERROR(__xludf.DUMMYFUNCTION("""COMPUTED_VALUE"""),"developed")</f>
        <v>developed</v>
      </c>
      <c r="P1070" s="5"/>
      <c r="Q1070" s="5"/>
    </row>
    <row r="1071">
      <c r="A1071" s="5" t="str">
        <f>IFERROR(__xludf.DUMMYFUNCTION("""COMPUTED_VALUE"""),"Outbound")</f>
        <v>Outbound</v>
      </c>
      <c r="B1071" s="5">
        <f>IFERROR(__xludf.DUMMYFUNCTION("""COMPUTED_VALUE"""),73.0)</f>
        <v>73</v>
      </c>
      <c r="C1071" s="5" t="str">
        <f>IFERROR(__xludf.DUMMYFUNCTION("""COMPUTED_VALUE"""),"STELLA GS")</f>
        <v>STELLA GS</v>
      </c>
      <c r="D1071" s="5">
        <f>IFERROR(__xludf.DUMMYFUNCTION("""COMPUTED_VALUE"""),9363285.0)</f>
        <v>9363285</v>
      </c>
      <c r="E1071" s="5" t="str">
        <f>IFERROR(__xludf.DUMMYFUNCTION("""COMPUTED_VALUE"""),"Odesa")</f>
        <v>Odesa</v>
      </c>
      <c r="F1071" s="5" t="str">
        <f>IFERROR(__xludf.DUMMYFUNCTION("""COMPUTED_VALUE"""),"Israel")</f>
        <v>Israel</v>
      </c>
      <c r="G1071" s="5" t="str">
        <f>IFERROR(__xludf.DUMMYFUNCTION("""COMPUTED_VALUE"""),"Corn")</f>
        <v>Corn</v>
      </c>
      <c r="H1071" s="6">
        <f>IFERROR(__xludf.DUMMYFUNCTION("""COMPUTED_VALUE"""),30300.0)</f>
        <v>30300</v>
      </c>
      <c r="I1071" s="7">
        <f>IFERROR(__xludf.DUMMYFUNCTION("""COMPUTED_VALUE"""),44806.0)</f>
        <v>44806</v>
      </c>
      <c r="J1071" s="7">
        <f>IFERROR(__xludf.DUMMYFUNCTION("""COMPUTED_VALUE"""),44810.0)</f>
        <v>44810</v>
      </c>
      <c r="K1071" s="5" t="str">
        <f>IFERROR(__xludf.DUMMYFUNCTION("""COMPUTED_VALUE"""),"high-income")</f>
        <v>high-income</v>
      </c>
      <c r="L1071" s="5" t="str">
        <f>IFERROR(__xludf.DUMMYFUNCTION("""COMPUTED_VALUE"""),"Marshall Islands")</f>
        <v>Marshall Islands</v>
      </c>
      <c r="M1071" s="5" t="str">
        <f>IFERROR(__xludf.DUMMYFUNCTION("""COMPUTED_VALUE"""),"Middle East &amp; North Africa")</f>
        <v>Middle East &amp; North Africa</v>
      </c>
      <c r="N1071" s="5" t="str">
        <f>IFERROR(__xludf.DUMMYFUNCTION("""COMPUTED_VALUE"""),"Western Europe and Others")</f>
        <v>Western Europe and Others</v>
      </c>
      <c r="O1071" s="5" t="str">
        <f>IFERROR(__xludf.DUMMYFUNCTION("""COMPUTED_VALUE"""),"developed")</f>
        <v>developed</v>
      </c>
      <c r="P1071" s="5"/>
      <c r="Q1071" s="5"/>
    </row>
    <row r="1072">
      <c r="A1072" s="5" t="str">
        <f>IFERROR(__xludf.DUMMYFUNCTION("""COMPUTED_VALUE"""),"Outbound")</f>
        <v>Outbound</v>
      </c>
      <c r="B1072" s="5">
        <f>IFERROR(__xludf.DUMMYFUNCTION("""COMPUTED_VALUE"""),72.0)</f>
        <v>72</v>
      </c>
      <c r="C1072" s="5" t="str">
        <f>IFERROR(__xludf.DUMMYFUNCTION("""COMPUTED_VALUE"""),"KATSUYAMA")</f>
        <v>KATSUYAMA</v>
      </c>
      <c r="D1072" s="5">
        <f>IFERROR(__xludf.DUMMYFUNCTION("""COMPUTED_VALUE"""),9274678.0)</f>
        <v>9274678</v>
      </c>
      <c r="E1072" s="5" t="str">
        <f>IFERROR(__xludf.DUMMYFUNCTION("""COMPUTED_VALUE"""),"Chornomorsk")</f>
        <v>Chornomorsk</v>
      </c>
      <c r="F1072" s="5" t="str">
        <f>IFERROR(__xludf.DUMMYFUNCTION("""COMPUTED_VALUE"""),"India")</f>
        <v>India</v>
      </c>
      <c r="G1072" s="5" t="str">
        <f>IFERROR(__xludf.DUMMYFUNCTION("""COMPUTED_VALUE"""),"Sunflower oil")</f>
        <v>Sunflower oil</v>
      </c>
      <c r="H1072" s="6">
        <f>IFERROR(__xludf.DUMMYFUNCTION("""COMPUTED_VALUE"""),21000.0)</f>
        <v>21000</v>
      </c>
      <c r="I1072" s="7">
        <f>IFERROR(__xludf.DUMMYFUNCTION("""COMPUTED_VALUE"""),44806.0)</f>
        <v>44806</v>
      </c>
      <c r="J1072" s="7">
        <f>IFERROR(__xludf.DUMMYFUNCTION("""COMPUTED_VALUE"""),44809.0)</f>
        <v>44809</v>
      </c>
      <c r="K1072" s="5" t="str">
        <f>IFERROR(__xludf.DUMMYFUNCTION("""COMPUTED_VALUE"""),"lower-middle income")</f>
        <v>lower-middle income</v>
      </c>
      <c r="L1072" s="5" t="str">
        <f>IFERROR(__xludf.DUMMYFUNCTION("""COMPUTED_VALUE"""),"Marshall Islands")</f>
        <v>Marshall Islands</v>
      </c>
      <c r="M1072" s="5" t="str">
        <f>IFERROR(__xludf.DUMMYFUNCTION("""COMPUTED_VALUE"""),"South Asia")</f>
        <v>South Asia</v>
      </c>
      <c r="N1072" s="5" t="str">
        <f>IFERROR(__xludf.DUMMYFUNCTION("""COMPUTED_VALUE"""),"Asia-Pacific")</f>
        <v>Asia-Pacific</v>
      </c>
      <c r="O1072" s="5" t="str">
        <f>IFERROR(__xludf.DUMMYFUNCTION("""COMPUTED_VALUE"""),"developing")</f>
        <v>developing</v>
      </c>
      <c r="P1072" s="5"/>
      <c r="Q1072" s="5"/>
    </row>
    <row r="1073">
      <c r="A1073" s="5" t="str">
        <f>IFERROR(__xludf.DUMMYFUNCTION("""COMPUTED_VALUE"""),"Outbound")</f>
        <v>Outbound</v>
      </c>
      <c r="B1073" s="5">
        <f>IFERROR(__xludf.DUMMYFUNCTION("""COMPUTED_VALUE"""),71.0)</f>
        <v>71</v>
      </c>
      <c r="C1073" s="5" t="str">
        <f>IFERROR(__xludf.DUMMYFUNCTION("""COMPUTED_VALUE"""),"SPRING")</f>
        <v>SPRING</v>
      </c>
      <c r="D1073" s="5">
        <f>IFERROR(__xludf.DUMMYFUNCTION("""COMPUTED_VALUE"""),8408650.0)</f>
        <v>8408650</v>
      </c>
      <c r="E1073" s="5" t="str">
        <f>IFERROR(__xludf.DUMMYFUNCTION("""COMPUTED_VALUE"""),"Chornomorsk")</f>
        <v>Chornomorsk</v>
      </c>
      <c r="F1073" s="5" t="str">
        <f>IFERROR(__xludf.DUMMYFUNCTION("""COMPUTED_VALUE"""),"Türkiye")</f>
        <v>Türkiye</v>
      </c>
      <c r="G1073" s="5" t="str">
        <f>IFERROR(__xludf.DUMMYFUNCTION("""COMPUTED_VALUE"""),"Wheat")</f>
        <v>Wheat</v>
      </c>
      <c r="H1073" s="6">
        <f>IFERROR(__xludf.DUMMYFUNCTION("""COMPUTED_VALUE"""),8500.0)</f>
        <v>8500</v>
      </c>
      <c r="I1073" s="7">
        <f>IFERROR(__xludf.DUMMYFUNCTION("""COMPUTED_VALUE"""),44806.0)</f>
        <v>44806</v>
      </c>
      <c r="J1073" s="7">
        <f>IFERROR(__xludf.DUMMYFUNCTION("""COMPUTED_VALUE"""),44809.0)</f>
        <v>44809</v>
      </c>
      <c r="K1073" s="5" t="str">
        <f>IFERROR(__xludf.DUMMYFUNCTION("""COMPUTED_VALUE"""),"upper-middle-income")</f>
        <v>upper-middle-income</v>
      </c>
      <c r="L1073" s="5" t="str">
        <f>IFERROR(__xludf.DUMMYFUNCTION("""COMPUTED_VALUE"""),"Comoros")</f>
        <v>Comoros</v>
      </c>
      <c r="M1073" s="5" t="str">
        <f>IFERROR(__xludf.DUMMYFUNCTION("""COMPUTED_VALUE"""),"Europe &amp; Central Asia")</f>
        <v>Europe &amp; Central Asia</v>
      </c>
      <c r="N1073" s="5" t="str">
        <f>IFERROR(__xludf.DUMMYFUNCTION("""COMPUTED_VALUE"""),"Asia-Pacific")</f>
        <v>Asia-Pacific</v>
      </c>
      <c r="O1073" s="5" t="str">
        <f>IFERROR(__xludf.DUMMYFUNCTION("""COMPUTED_VALUE"""),"developing")</f>
        <v>developing</v>
      </c>
      <c r="P1073" s="5"/>
      <c r="Q1073" s="5"/>
    </row>
    <row r="1074">
      <c r="A1074" s="5" t="str">
        <f>IFERROR(__xludf.DUMMYFUNCTION("""COMPUTED_VALUE"""),"Outbound")</f>
        <v>Outbound</v>
      </c>
      <c r="B1074" s="5">
        <f>IFERROR(__xludf.DUMMYFUNCTION("""COMPUTED_VALUE"""),70.0)</f>
        <v>70</v>
      </c>
      <c r="C1074" s="5" t="str">
        <f>IFERROR(__xludf.DUMMYFUNCTION("""COMPUTED_VALUE"""),"MAVKA")</f>
        <v>MAVKA</v>
      </c>
      <c r="D1074" s="5">
        <f>IFERROR(__xludf.DUMMYFUNCTION("""COMPUTED_VALUE"""),9284647.0)</f>
        <v>9284647</v>
      </c>
      <c r="E1074" s="5" t="str">
        <f>IFERROR(__xludf.DUMMYFUNCTION("""COMPUTED_VALUE"""),"Chornomorsk")</f>
        <v>Chornomorsk</v>
      </c>
      <c r="F1074" s="5" t="str">
        <f>IFERROR(__xludf.DUMMYFUNCTION("""COMPUTED_VALUE"""),"Romania")</f>
        <v>Romania</v>
      </c>
      <c r="G1074" s="5" t="str">
        <f>IFERROR(__xludf.DUMMYFUNCTION("""COMPUTED_VALUE"""),"Sunflower oil")</f>
        <v>Sunflower oil</v>
      </c>
      <c r="H1074" s="6">
        <f>IFERROR(__xludf.DUMMYFUNCTION("""COMPUTED_VALUE"""),12500.0)</f>
        <v>12500</v>
      </c>
      <c r="I1074" s="7">
        <f>IFERROR(__xludf.DUMMYFUNCTION("""COMPUTED_VALUE"""),44806.0)</f>
        <v>44806</v>
      </c>
      <c r="J1074" s="7">
        <f>IFERROR(__xludf.DUMMYFUNCTION("""COMPUTED_VALUE"""),44809.0)</f>
        <v>44809</v>
      </c>
      <c r="K1074" s="5" t="str">
        <f>IFERROR(__xludf.DUMMYFUNCTION("""COMPUTED_VALUE"""),"high-income")</f>
        <v>high-income</v>
      </c>
      <c r="L1074" s="5" t="str">
        <f>IFERROR(__xludf.DUMMYFUNCTION("""COMPUTED_VALUE"""),"Panama")</f>
        <v>Panama</v>
      </c>
      <c r="M1074" s="5" t="str">
        <f>IFERROR(__xludf.DUMMYFUNCTION("""COMPUTED_VALUE"""),"Europe &amp; Central Asia")</f>
        <v>Europe &amp; Central Asia</v>
      </c>
      <c r="N1074" s="5" t="str">
        <f>IFERROR(__xludf.DUMMYFUNCTION("""COMPUTED_VALUE"""),"Eastern Europe")</f>
        <v>Eastern Europe</v>
      </c>
      <c r="O1074" s="5" t="str">
        <f>IFERROR(__xludf.DUMMYFUNCTION("""COMPUTED_VALUE"""),"developed")</f>
        <v>developed</v>
      </c>
      <c r="P1074" s="5"/>
      <c r="Q1074" s="5"/>
    </row>
    <row r="1075">
      <c r="A1075" s="5" t="str">
        <f>IFERROR(__xludf.DUMMYFUNCTION("""COMPUTED_VALUE"""),"Outbound")</f>
        <v>Outbound</v>
      </c>
      <c r="B1075" s="5">
        <f>IFERROR(__xludf.DUMMYFUNCTION("""COMPUTED_VALUE"""),69.0)</f>
        <v>69</v>
      </c>
      <c r="C1075" s="5" t="str">
        <f>IFERROR(__xludf.DUMMYFUNCTION("""COMPUTED_VALUE"""),"CANGA STAR")</f>
        <v>CANGA STAR</v>
      </c>
      <c r="D1075" s="5">
        <f>IFERROR(__xludf.DUMMYFUNCTION("""COMPUTED_VALUE"""),9540039.0)</f>
        <v>9540039</v>
      </c>
      <c r="E1075" s="5" t="str">
        <f>IFERROR(__xludf.DUMMYFUNCTION("""COMPUTED_VALUE"""),"Chornomorsk")</f>
        <v>Chornomorsk</v>
      </c>
      <c r="F1075" s="5" t="str">
        <f>IFERROR(__xludf.DUMMYFUNCTION("""COMPUTED_VALUE"""),"France")</f>
        <v>France</v>
      </c>
      <c r="G1075" s="5" t="str">
        <f>IFERROR(__xludf.DUMMYFUNCTION("""COMPUTED_VALUE"""),"Rapeseed")</f>
        <v>Rapeseed</v>
      </c>
      <c r="H1075" s="6">
        <f>IFERROR(__xludf.DUMMYFUNCTION("""COMPUTED_VALUE"""),7000.0)</f>
        <v>7000</v>
      </c>
      <c r="I1075" s="7">
        <f>IFERROR(__xludf.DUMMYFUNCTION("""COMPUTED_VALUE"""),44806.0)</f>
        <v>44806</v>
      </c>
      <c r="J1075" s="7">
        <f>IFERROR(__xludf.DUMMYFUNCTION("""COMPUTED_VALUE"""),44811.0)</f>
        <v>44811</v>
      </c>
      <c r="K1075" s="5" t="str">
        <f>IFERROR(__xludf.DUMMYFUNCTION("""COMPUTED_VALUE"""),"high-income")</f>
        <v>high-income</v>
      </c>
      <c r="L1075" s="5" t="str">
        <f>IFERROR(__xludf.DUMMYFUNCTION("""COMPUTED_VALUE"""),"Vanuatu")</f>
        <v>Vanuatu</v>
      </c>
      <c r="M1075" s="5" t="str">
        <f>IFERROR(__xludf.DUMMYFUNCTION("""COMPUTED_VALUE"""),"Europe &amp; Central Asia")</f>
        <v>Europe &amp; Central Asia</v>
      </c>
      <c r="N1075" s="5" t="str">
        <f>IFERROR(__xludf.DUMMYFUNCTION("""COMPUTED_VALUE"""),"Western Europe and Others")</f>
        <v>Western Europe and Others</v>
      </c>
      <c r="O1075" s="5" t="str">
        <f>IFERROR(__xludf.DUMMYFUNCTION("""COMPUTED_VALUE"""),"developed")</f>
        <v>developed</v>
      </c>
      <c r="P1075" s="5"/>
      <c r="Q1075" s="5"/>
    </row>
    <row r="1076">
      <c r="A1076" s="5" t="str">
        <f>IFERROR(__xludf.DUMMYFUNCTION("""COMPUTED_VALUE"""),"Outbound")</f>
        <v>Outbound</v>
      </c>
      <c r="B1076" s="5">
        <f>IFERROR(__xludf.DUMMYFUNCTION("""COMPUTED_VALUE"""),68.0)</f>
        <v>68</v>
      </c>
      <c r="C1076" s="5" t="str">
        <f>IFERROR(__xludf.DUMMYFUNCTION("""COMPUTED_VALUE"""),"MASSA J")</f>
        <v>MASSA J</v>
      </c>
      <c r="D1076" s="5">
        <f>IFERROR(__xludf.DUMMYFUNCTION("""COMPUTED_VALUE"""),9224867.0)</f>
        <v>9224867</v>
      </c>
      <c r="E1076" s="5" t="str">
        <f>IFERROR(__xludf.DUMMYFUNCTION("""COMPUTED_VALUE"""),"Yuzhny/Pivdennyi")</f>
        <v>Yuzhny/Pivdennyi</v>
      </c>
      <c r="F1076" s="5" t="str">
        <f>IFERROR(__xludf.DUMMYFUNCTION("""COMPUTED_VALUE"""),"Somalia")</f>
        <v>Somalia</v>
      </c>
      <c r="G1076" s="5" t="str">
        <f>IFERROR(__xludf.DUMMYFUNCTION("""COMPUTED_VALUE"""),"Wheat")</f>
        <v>Wheat</v>
      </c>
      <c r="H1076" s="6">
        <f>IFERROR(__xludf.DUMMYFUNCTION("""COMPUTED_VALUE"""),28500.0)</f>
        <v>28500</v>
      </c>
      <c r="I1076" s="7">
        <f>IFERROR(__xludf.DUMMYFUNCTION("""COMPUTED_VALUE"""),44805.0)</f>
        <v>44805</v>
      </c>
      <c r="J1076" s="7">
        <f>IFERROR(__xludf.DUMMYFUNCTION("""COMPUTED_VALUE"""),44811.0)</f>
        <v>44811</v>
      </c>
      <c r="K1076" s="5" t="str">
        <f>IFERROR(__xludf.DUMMYFUNCTION("""COMPUTED_VALUE"""),"low-income")</f>
        <v>low-income</v>
      </c>
      <c r="L1076" s="5" t="str">
        <f>IFERROR(__xludf.DUMMYFUNCTION("""COMPUTED_VALUE"""),"Barbados")</f>
        <v>Barbados</v>
      </c>
      <c r="M1076" s="5" t="str">
        <f>IFERROR(__xludf.DUMMYFUNCTION("""COMPUTED_VALUE"""),"Sub-Saharan Africa")</f>
        <v>Sub-Saharan Africa</v>
      </c>
      <c r="N1076" s="5" t="str">
        <f>IFERROR(__xludf.DUMMYFUNCTION("""COMPUTED_VALUE"""),"Africa")</f>
        <v>Africa</v>
      </c>
      <c r="O1076" s="5" t="str">
        <f>IFERROR(__xludf.DUMMYFUNCTION("""COMPUTED_VALUE"""),"developing")</f>
        <v>developing</v>
      </c>
      <c r="P1076" s="5"/>
      <c r="Q1076" s="5"/>
    </row>
    <row r="1077">
      <c r="A1077" s="5" t="str">
        <f>IFERROR(__xludf.DUMMYFUNCTION("""COMPUTED_VALUE"""),"Outbound")</f>
        <v>Outbound</v>
      </c>
      <c r="B1077" s="5">
        <f>IFERROR(__xludf.DUMMYFUNCTION("""COMPUTED_VALUE"""),67.0)</f>
        <v>67</v>
      </c>
      <c r="C1077" s="5" t="str">
        <f>IFERROR(__xludf.DUMMYFUNCTION("""COMPUTED_VALUE"""),"ENEIDA")</f>
        <v>ENEIDA</v>
      </c>
      <c r="D1077" s="5">
        <f>IFERROR(__xludf.DUMMYFUNCTION("""COMPUTED_VALUE"""),9198381.0)</f>
        <v>9198381</v>
      </c>
      <c r="E1077" s="5" t="str">
        <f>IFERROR(__xludf.DUMMYFUNCTION("""COMPUTED_VALUE"""),"Chornomorsk")</f>
        <v>Chornomorsk</v>
      </c>
      <c r="F1077" s="5" t="str">
        <f>IFERROR(__xludf.DUMMYFUNCTION("""COMPUTED_VALUE"""),"Türkiye")</f>
        <v>Türkiye</v>
      </c>
      <c r="G1077" s="5" t="str">
        <f>IFERROR(__xludf.DUMMYFUNCTION("""COMPUTED_VALUE"""),"Corn")</f>
        <v>Corn</v>
      </c>
      <c r="H1077" s="6">
        <f>IFERROR(__xludf.DUMMYFUNCTION("""COMPUTED_VALUE"""),8560.0)</f>
        <v>8560</v>
      </c>
      <c r="I1077" s="7">
        <f>IFERROR(__xludf.DUMMYFUNCTION("""COMPUTED_VALUE"""),44805.0)</f>
        <v>44805</v>
      </c>
      <c r="J1077" s="7">
        <f>IFERROR(__xludf.DUMMYFUNCTION("""COMPUTED_VALUE"""),44809.0)</f>
        <v>44809</v>
      </c>
      <c r="K1077" s="5" t="str">
        <f>IFERROR(__xludf.DUMMYFUNCTION("""COMPUTED_VALUE"""),"upper-middle-income")</f>
        <v>upper-middle-income</v>
      </c>
      <c r="L1077" s="5" t="str">
        <f>IFERROR(__xludf.DUMMYFUNCTION("""COMPUTED_VALUE"""),"Liberia")</f>
        <v>Liberia</v>
      </c>
      <c r="M1077" s="5" t="str">
        <f>IFERROR(__xludf.DUMMYFUNCTION("""COMPUTED_VALUE"""),"Europe &amp; Central Asia")</f>
        <v>Europe &amp; Central Asia</v>
      </c>
      <c r="N1077" s="5" t="str">
        <f>IFERROR(__xludf.DUMMYFUNCTION("""COMPUTED_VALUE"""),"Asia-Pacific")</f>
        <v>Asia-Pacific</v>
      </c>
      <c r="O1077" s="5" t="str">
        <f>IFERROR(__xludf.DUMMYFUNCTION("""COMPUTED_VALUE"""),"developing")</f>
        <v>developing</v>
      </c>
      <c r="P1077" s="5"/>
      <c r="Q1077" s="5"/>
    </row>
    <row r="1078">
      <c r="A1078" s="5" t="str">
        <f>IFERROR(__xludf.DUMMYFUNCTION("""COMPUTED_VALUE"""),"Outbound +")</f>
        <v>Outbound +</v>
      </c>
      <c r="B1078" s="5">
        <f>IFERROR(__xludf.DUMMYFUNCTION("""COMPUTED_VALUE"""),67.0)</f>
        <v>67</v>
      </c>
      <c r="C1078" s="5" t="str">
        <f>IFERROR(__xludf.DUMMYFUNCTION("""COMPUTED_VALUE"""),"ENEIDA")</f>
        <v>ENEIDA</v>
      </c>
      <c r="D1078" s="5">
        <f>IFERROR(__xludf.DUMMYFUNCTION("""COMPUTED_VALUE"""),9198381.0)</f>
        <v>9198381</v>
      </c>
      <c r="E1078" s="5" t="str">
        <f>IFERROR(__xludf.DUMMYFUNCTION("""COMPUTED_VALUE"""),"Chornomorsk")</f>
        <v>Chornomorsk</v>
      </c>
      <c r="F1078" s="5" t="str">
        <f>IFERROR(__xludf.DUMMYFUNCTION("""COMPUTED_VALUE"""),"Türkiye")</f>
        <v>Türkiye</v>
      </c>
      <c r="G1078" s="5" t="str">
        <f>IFERROR(__xludf.DUMMYFUNCTION("""COMPUTED_VALUE"""),"Wheat")</f>
        <v>Wheat</v>
      </c>
      <c r="H1078" s="6">
        <f>IFERROR(__xludf.DUMMYFUNCTION("""COMPUTED_VALUE"""),35470.0)</f>
        <v>35470</v>
      </c>
      <c r="I1078" s="7">
        <f>IFERROR(__xludf.DUMMYFUNCTION("""COMPUTED_VALUE"""),44805.0)</f>
        <v>44805</v>
      </c>
      <c r="J1078" s="7">
        <f>IFERROR(__xludf.DUMMYFUNCTION("""COMPUTED_VALUE"""),44809.0)</f>
        <v>44809</v>
      </c>
      <c r="K1078" s="5" t="str">
        <f>IFERROR(__xludf.DUMMYFUNCTION("""COMPUTED_VALUE"""),"upper-middle-income")</f>
        <v>upper-middle-income</v>
      </c>
      <c r="L1078" s="5" t="str">
        <f>IFERROR(__xludf.DUMMYFUNCTION("""COMPUTED_VALUE"""),"Liberia")</f>
        <v>Liberia</v>
      </c>
      <c r="M1078" s="5" t="str">
        <f>IFERROR(__xludf.DUMMYFUNCTION("""COMPUTED_VALUE"""),"Europe &amp; Central Asia")</f>
        <v>Europe &amp; Central Asia</v>
      </c>
      <c r="N1078" s="5" t="str">
        <f>IFERROR(__xludf.DUMMYFUNCTION("""COMPUTED_VALUE"""),"Asia-Pacific")</f>
        <v>Asia-Pacific</v>
      </c>
      <c r="O1078" s="5" t="str">
        <f>IFERROR(__xludf.DUMMYFUNCTION("""COMPUTED_VALUE"""),"developing")</f>
        <v>developing</v>
      </c>
      <c r="P1078" s="5"/>
      <c r="Q1078" s="5"/>
    </row>
    <row r="1079">
      <c r="A1079" s="5" t="str">
        <f>IFERROR(__xludf.DUMMYFUNCTION("""COMPUTED_VALUE"""),"Outbound")</f>
        <v>Outbound</v>
      </c>
      <c r="B1079" s="5">
        <f>IFERROR(__xludf.DUMMYFUNCTION("""COMPUTED_VALUE"""),66.0)</f>
        <v>66</v>
      </c>
      <c r="C1079" s="5" t="str">
        <f>IFERROR(__xludf.DUMMYFUNCTION("""COMPUTED_VALUE"""),"HELGA")</f>
        <v>HELGA</v>
      </c>
      <c r="D1079" s="5">
        <f>IFERROR(__xludf.DUMMYFUNCTION("""COMPUTED_VALUE"""),9444912.0)</f>
        <v>9444912</v>
      </c>
      <c r="E1079" s="5" t="str">
        <f>IFERROR(__xludf.DUMMYFUNCTION("""COMPUTED_VALUE"""),"Odesa")</f>
        <v>Odesa</v>
      </c>
      <c r="F1079" s="5" t="str">
        <f>IFERROR(__xludf.DUMMYFUNCTION("""COMPUTED_VALUE"""),"Türkiye")</f>
        <v>Türkiye</v>
      </c>
      <c r="G1079" s="5" t="str">
        <f>IFERROR(__xludf.DUMMYFUNCTION("""COMPUTED_VALUE"""),"Corn")</f>
        <v>Corn</v>
      </c>
      <c r="H1079" s="6">
        <f>IFERROR(__xludf.DUMMYFUNCTION("""COMPUTED_VALUE"""),27000.0)</f>
        <v>27000</v>
      </c>
      <c r="I1079" s="7">
        <f>IFERROR(__xludf.DUMMYFUNCTION("""COMPUTED_VALUE"""),44805.0)</f>
        <v>44805</v>
      </c>
      <c r="J1079" s="7">
        <f>IFERROR(__xludf.DUMMYFUNCTION("""COMPUTED_VALUE"""),44809.0)</f>
        <v>44809</v>
      </c>
      <c r="K1079" s="5" t="str">
        <f>IFERROR(__xludf.DUMMYFUNCTION("""COMPUTED_VALUE"""),"upper-middle-income")</f>
        <v>upper-middle-income</v>
      </c>
      <c r="L1079" s="5" t="str">
        <f>IFERROR(__xludf.DUMMYFUNCTION("""COMPUTED_VALUE"""),"Liberia")</f>
        <v>Liberia</v>
      </c>
      <c r="M1079" s="5" t="str">
        <f>IFERROR(__xludf.DUMMYFUNCTION("""COMPUTED_VALUE"""),"Europe &amp; Central Asia")</f>
        <v>Europe &amp; Central Asia</v>
      </c>
      <c r="N1079" s="5" t="str">
        <f>IFERROR(__xludf.DUMMYFUNCTION("""COMPUTED_VALUE"""),"Asia-Pacific")</f>
        <v>Asia-Pacific</v>
      </c>
      <c r="O1079" s="5" t="str">
        <f>IFERROR(__xludf.DUMMYFUNCTION("""COMPUTED_VALUE"""),"developing")</f>
        <v>developing</v>
      </c>
      <c r="P1079" s="5"/>
      <c r="Q1079" s="5"/>
    </row>
    <row r="1080">
      <c r="A1080" s="5" t="str">
        <f>IFERROR(__xludf.DUMMYFUNCTION("""COMPUTED_VALUE"""),"Outbound")</f>
        <v>Outbound</v>
      </c>
      <c r="B1080" s="5">
        <f>IFERROR(__xludf.DUMMYFUNCTION("""COMPUTED_VALUE"""),65.0)</f>
        <v>65</v>
      </c>
      <c r="C1080" s="5" t="str">
        <f>IFERROR(__xludf.DUMMYFUNCTION("""COMPUTED_VALUE"""),"HAZAR S")</f>
        <v>HAZAR S</v>
      </c>
      <c r="D1080" s="5">
        <f>IFERROR(__xludf.DUMMYFUNCTION("""COMPUTED_VALUE"""),9545467.0)</f>
        <v>9545467</v>
      </c>
      <c r="E1080" s="5" t="str">
        <f>IFERROR(__xludf.DUMMYFUNCTION("""COMPUTED_VALUE"""),"Chornomorsk")</f>
        <v>Chornomorsk</v>
      </c>
      <c r="F1080" s="5" t="str">
        <f>IFERROR(__xludf.DUMMYFUNCTION("""COMPUTED_VALUE"""),"Türkiye")</f>
        <v>Türkiye</v>
      </c>
      <c r="G1080" s="5" t="str">
        <f>IFERROR(__xludf.DUMMYFUNCTION("""COMPUTED_VALUE"""),"Corn")</f>
        <v>Corn</v>
      </c>
      <c r="H1080" s="6">
        <f>IFERROR(__xludf.DUMMYFUNCTION("""COMPUTED_VALUE"""),5500.0)</f>
        <v>5500</v>
      </c>
      <c r="I1080" s="7">
        <f>IFERROR(__xludf.DUMMYFUNCTION("""COMPUTED_VALUE"""),44805.0)</f>
        <v>44805</v>
      </c>
      <c r="J1080" s="7">
        <f>IFERROR(__xludf.DUMMYFUNCTION("""COMPUTED_VALUE"""),44808.0)</f>
        <v>44808</v>
      </c>
      <c r="K1080" s="5" t="str">
        <f>IFERROR(__xludf.DUMMYFUNCTION("""COMPUTED_VALUE"""),"upper-middle-income")</f>
        <v>upper-middle-income</v>
      </c>
      <c r="L1080" s="5" t="str">
        <f>IFERROR(__xludf.DUMMYFUNCTION("""COMPUTED_VALUE"""),"Panama")</f>
        <v>Panama</v>
      </c>
      <c r="M1080" s="5" t="str">
        <f>IFERROR(__xludf.DUMMYFUNCTION("""COMPUTED_VALUE"""),"Europe &amp; Central Asia")</f>
        <v>Europe &amp; Central Asia</v>
      </c>
      <c r="N1080" s="5" t="str">
        <f>IFERROR(__xludf.DUMMYFUNCTION("""COMPUTED_VALUE"""),"Asia-Pacific")</f>
        <v>Asia-Pacific</v>
      </c>
      <c r="O1080" s="5" t="str">
        <f>IFERROR(__xludf.DUMMYFUNCTION("""COMPUTED_VALUE"""),"developing")</f>
        <v>developing</v>
      </c>
      <c r="P1080" s="5"/>
      <c r="Q1080" s="5"/>
    </row>
    <row r="1081">
      <c r="A1081" s="5" t="str">
        <f>IFERROR(__xludf.DUMMYFUNCTION("""COMPUTED_VALUE"""),"Outbound")</f>
        <v>Outbound</v>
      </c>
      <c r="B1081" s="5">
        <f>IFERROR(__xludf.DUMMYFUNCTION("""COMPUTED_VALUE"""),64.0)</f>
        <v>64</v>
      </c>
      <c r="C1081" s="5" t="str">
        <f>IFERROR(__xludf.DUMMYFUNCTION("""COMPUTED_VALUE"""),"DAYTONA DYNAMIC")</f>
        <v>DAYTONA DYNAMIC</v>
      </c>
      <c r="D1081" s="5">
        <f>IFERROR(__xludf.DUMMYFUNCTION("""COMPUTED_VALUE"""),8914726.0)</f>
        <v>8914726</v>
      </c>
      <c r="E1081" s="5" t="str">
        <f>IFERROR(__xludf.DUMMYFUNCTION("""COMPUTED_VALUE"""),"Odesa")</f>
        <v>Odesa</v>
      </c>
      <c r="F1081" s="5" t="str">
        <f>IFERROR(__xludf.DUMMYFUNCTION("""COMPUTED_VALUE"""),"Türkiye")</f>
        <v>Türkiye</v>
      </c>
      <c r="G1081" s="5" t="str">
        <f>IFERROR(__xludf.DUMMYFUNCTION("""COMPUTED_VALUE"""),"Corn")</f>
        <v>Corn</v>
      </c>
      <c r="H1081" s="6">
        <f>IFERROR(__xludf.DUMMYFUNCTION("""COMPUTED_VALUE"""),25850.0)</f>
        <v>25850</v>
      </c>
      <c r="I1081" s="7">
        <f>IFERROR(__xludf.DUMMYFUNCTION("""COMPUTED_VALUE"""),44805.0)</f>
        <v>44805</v>
      </c>
      <c r="J1081" s="7">
        <f>IFERROR(__xludf.DUMMYFUNCTION("""COMPUTED_VALUE"""),44808.0)</f>
        <v>44808</v>
      </c>
      <c r="K1081" s="5" t="str">
        <f>IFERROR(__xludf.DUMMYFUNCTION("""COMPUTED_VALUE"""),"upper-middle-income")</f>
        <v>upper-middle-income</v>
      </c>
      <c r="L1081" s="5" t="str">
        <f>IFERROR(__xludf.DUMMYFUNCTION("""COMPUTED_VALUE"""),"Comoros")</f>
        <v>Comoros</v>
      </c>
      <c r="M1081" s="5" t="str">
        <f>IFERROR(__xludf.DUMMYFUNCTION("""COMPUTED_VALUE"""),"Europe &amp; Central Asia")</f>
        <v>Europe &amp; Central Asia</v>
      </c>
      <c r="N1081" s="5" t="str">
        <f>IFERROR(__xludf.DUMMYFUNCTION("""COMPUTED_VALUE"""),"Asia-Pacific")</f>
        <v>Asia-Pacific</v>
      </c>
      <c r="O1081" s="5" t="str">
        <f>IFERROR(__xludf.DUMMYFUNCTION("""COMPUTED_VALUE"""),"developing")</f>
        <v>developing</v>
      </c>
      <c r="P1081" s="5"/>
      <c r="Q1081" s="5"/>
    </row>
    <row r="1082">
      <c r="A1082" s="5" t="str">
        <f>IFERROR(__xludf.DUMMYFUNCTION("""COMPUTED_VALUE"""),"Outbound")</f>
        <v>Outbound</v>
      </c>
      <c r="B1082" s="5">
        <f>IFERROR(__xludf.DUMMYFUNCTION("""COMPUTED_VALUE"""),63.0)</f>
        <v>63</v>
      </c>
      <c r="C1082" s="5" t="str">
        <f>IFERROR(__xludf.DUMMYFUNCTION("""COMPUTED_VALUE"""),"MARAN ASTRONOMER")</f>
        <v>MARAN ASTRONOMER</v>
      </c>
      <c r="D1082" s="5">
        <f>IFERROR(__xludf.DUMMYFUNCTION("""COMPUTED_VALUE"""),9581239.0)</f>
        <v>9581239</v>
      </c>
      <c r="E1082" s="5" t="str">
        <f>IFERROR(__xludf.DUMMYFUNCTION("""COMPUTED_VALUE"""),"Yuzhny/Pivdennyi")</f>
        <v>Yuzhny/Pivdennyi</v>
      </c>
      <c r="F1082" s="5" t="str">
        <f>IFERROR(__xludf.DUMMYFUNCTION("""COMPUTED_VALUE"""),"The Netherlands")</f>
        <v>The Netherlands</v>
      </c>
      <c r="G1082" s="5" t="str">
        <f>IFERROR(__xludf.DUMMYFUNCTION("""COMPUTED_VALUE"""),"Corn")</f>
        <v>Corn</v>
      </c>
      <c r="H1082" s="6">
        <f>IFERROR(__xludf.DUMMYFUNCTION("""COMPUTED_VALUE"""),74500.0)</f>
        <v>74500</v>
      </c>
      <c r="I1082" s="7">
        <f>IFERROR(__xludf.DUMMYFUNCTION("""COMPUTED_VALUE"""),44804.0)</f>
        <v>44804</v>
      </c>
      <c r="J1082" s="7">
        <f>IFERROR(__xludf.DUMMYFUNCTION("""COMPUTED_VALUE"""),44809.0)</f>
        <v>44809</v>
      </c>
      <c r="K1082" s="5" t="str">
        <f>IFERROR(__xludf.DUMMYFUNCTION("""COMPUTED_VALUE"""),"high-income")</f>
        <v>high-income</v>
      </c>
      <c r="L1082" s="5" t="str">
        <f>IFERROR(__xludf.DUMMYFUNCTION("""COMPUTED_VALUE"""),"Greece")</f>
        <v>Greece</v>
      </c>
      <c r="M1082" s="5" t="str">
        <f>IFERROR(__xludf.DUMMYFUNCTION("""COMPUTED_VALUE"""),"Europe &amp; Central Asia")</f>
        <v>Europe &amp; Central Asia</v>
      </c>
      <c r="N1082" s="5" t="str">
        <f>IFERROR(__xludf.DUMMYFUNCTION("""COMPUTED_VALUE"""),"Western Europe and Others")</f>
        <v>Western Europe and Others</v>
      </c>
      <c r="O1082" s="5" t="str">
        <f>IFERROR(__xludf.DUMMYFUNCTION("""COMPUTED_VALUE"""),"developed")</f>
        <v>developed</v>
      </c>
      <c r="P1082" s="5"/>
      <c r="Q1082" s="5" t="str">
        <f>IFERROR(__xludf.DUMMYFUNCTION("""COMPUTED_VALUE"""),"Stranded")</f>
        <v>Stranded</v>
      </c>
    </row>
    <row r="1083">
      <c r="A1083" s="5" t="str">
        <f>IFERROR(__xludf.DUMMYFUNCTION("""COMPUTED_VALUE"""),"Outbound")</f>
        <v>Outbound</v>
      </c>
      <c r="B1083" s="5">
        <f>IFERROR(__xludf.DUMMYFUNCTION("""COMPUTED_VALUE"""),62.0)</f>
        <v>62</v>
      </c>
      <c r="C1083" s="5" t="str">
        <f>IFERROR(__xludf.DUMMYFUNCTION("""COMPUTED_VALUE"""),"LADY AILLAR")</f>
        <v>LADY AILLAR</v>
      </c>
      <c r="D1083" s="5">
        <f>IFERROR(__xludf.DUMMYFUNCTION("""COMPUTED_VALUE"""),9550278.0)</f>
        <v>9550278</v>
      </c>
      <c r="E1083" s="5" t="str">
        <f>IFERROR(__xludf.DUMMYFUNCTION("""COMPUTED_VALUE"""),"Yuzhny/Pivdennyi")</f>
        <v>Yuzhny/Pivdennyi</v>
      </c>
      <c r="F1083" s="5" t="str">
        <f>IFERROR(__xludf.DUMMYFUNCTION("""COMPUTED_VALUE"""),"Spain")</f>
        <v>Spain</v>
      </c>
      <c r="G1083" s="5" t="str">
        <f>IFERROR(__xludf.DUMMYFUNCTION("""COMPUTED_VALUE"""),"Corn")</f>
        <v>Corn</v>
      </c>
      <c r="H1083" s="6">
        <f>IFERROR(__xludf.DUMMYFUNCTION("""COMPUTED_VALUE"""),27000.0)</f>
        <v>27000</v>
      </c>
      <c r="I1083" s="7">
        <f>IFERROR(__xludf.DUMMYFUNCTION("""COMPUTED_VALUE"""),44804.0)</f>
        <v>44804</v>
      </c>
      <c r="J1083" s="7">
        <f>IFERROR(__xludf.DUMMYFUNCTION("""COMPUTED_VALUE"""),44809.0)</f>
        <v>44809</v>
      </c>
      <c r="K1083" s="5" t="str">
        <f>IFERROR(__xludf.DUMMYFUNCTION("""COMPUTED_VALUE"""),"high-income")</f>
        <v>high-income</v>
      </c>
      <c r="L1083" s="5" t="str">
        <f>IFERROR(__xludf.DUMMYFUNCTION("""COMPUTED_VALUE"""),"Belize")</f>
        <v>Belize</v>
      </c>
      <c r="M1083" s="5" t="str">
        <f>IFERROR(__xludf.DUMMYFUNCTION("""COMPUTED_VALUE"""),"Europe &amp; Central Asia")</f>
        <v>Europe &amp; Central Asia</v>
      </c>
      <c r="N1083" s="5" t="str">
        <f>IFERROR(__xludf.DUMMYFUNCTION("""COMPUTED_VALUE"""),"Western Europe and Others")</f>
        <v>Western Europe and Others</v>
      </c>
      <c r="O1083" s="5" t="str">
        <f>IFERROR(__xludf.DUMMYFUNCTION("""COMPUTED_VALUE"""),"developed")</f>
        <v>developed</v>
      </c>
      <c r="P1083" s="5"/>
      <c r="Q1083" s="5"/>
    </row>
    <row r="1084">
      <c r="A1084" s="5" t="str">
        <f>IFERROR(__xludf.DUMMYFUNCTION("""COMPUTED_VALUE"""),"Outbound")</f>
        <v>Outbound</v>
      </c>
      <c r="B1084" s="5">
        <f>IFERROR(__xludf.DUMMYFUNCTION("""COMPUTED_VALUE"""),61.0)</f>
        <v>61</v>
      </c>
      <c r="C1084" s="5" t="str">
        <f>IFERROR(__xludf.DUMMYFUNCTION("""COMPUTED_VALUE"""),"SIMAS")</f>
        <v>SIMAS</v>
      </c>
      <c r="D1084" s="5">
        <f>IFERROR(__xludf.DUMMYFUNCTION("""COMPUTED_VALUE"""),9000314.0)</f>
        <v>9000314</v>
      </c>
      <c r="E1084" s="5" t="str">
        <f>IFERROR(__xludf.DUMMYFUNCTION("""COMPUTED_VALUE"""),"Odesa")</f>
        <v>Odesa</v>
      </c>
      <c r="F1084" s="5" t="str">
        <f>IFERROR(__xludf.DUMMYFUNCTION("""COMPUTED_VALUE"""),"Italy")</f>
        <v>Italy</v>
      </c>
      <c r="G1084" s="5" t="str">
        <f>IFERROR(__xludf.DUMMYFUNCTION("""COMPUTED_VALUE"""),"Wheat")</f>
        <v>Wheat</v>
      </c>
      <c r="H1084" s="6">
        <f>IFERROR(__xludf.DUMMYFUNCTION("""COMPUTED_VALUE"""),15000.0)</f>
        <v>15000</v>
      </c>
      <c r="I1084" s="7">
        <f>IFERROR(__xludf.DUMMYFUNCTION("""COMPUTED_VALUE"""),44803.0)</f>
        <v>44803</v>
      </c>
      <c r="J1084" s="7">
        <f>IFERROR(__xludf.DUMMYFUNCTION("""COMPUTED_VALUE"""),44808.0)</f>
        <v>44808</v>
      </c>
      <c r="K1084" s="5" t="str">
        <f>IFERROR(__xludf.DUMMYFUNCTION("""COMPUTED_VALUE"""),"high-income")</f>
        <v>high-income</v>
      </c>
      <c r="L1084" s="5" t="str">
        <f>IFERROR(__xludf.DUMMYFUNCTION("""COMPUTED_VALUE"""),"Türkiye")</f>
        <v>Türkiye</v>
      </c>
      <c r="M1084" s="5" t="str">
        <f>IFERROR(__xludf.DUMMYFUNCTION("""COMPUTED_VALUE"""),"Europe &amp; Central Asia")</f>
        <v>Europe &amp; Central Asia</v>
      </c>
      <c r="N1084" s="5" t="str">
        <f>IFERROR(__xludf.DUMMYFUNCTION("""COMPUTED_VALUE"""),"Western Europe and Others")</f>
        <v>Western Europe and Others</v>
      </c>
      <c r="O1084" s="5" t="str">
        <f>IFERROR(__xludf.DUMMYFUNCTION("""COMPUTED_VALUE"""),"developed")</f>
        <v>developed</v>
      </c>
      <c r="P1084" s="5"/>
      <c r="Q1084" s="5"/>
    </row>
    <row r="1085">
      <c r="A1085" s="5" t="str">
        <f>IFERROR(__xludf.DUMMYFUNCTION("""COMPUTED_VALUE"""),"Outbound")</f>
        <v>Outbound</v>
      </c>
      <c r="B1085" s="5">
        <f>IFERROR(__xludf.DUMMYFUNCTION("""COMPUTED_VALUE"""),60.0)</f>
        <v>60</v>
      </c>
      <c r="C1085" s="5" t="str">
        <f>IFERROR(__xludf.DUMMYFUNCTION("""COMPUTED_VALUE"""),"KARTERIA (WFP)")</f>
        <v>KARTERIA (WFP)</v>
      </c>
      <c r="D1085" s="5">
        <f>IFERROR(__xludf.DUMMYFUNCTION("""COMPUTED_VALUE"""),9236092.0)</f>
        <v>9236092</v>
      </c>
      <c r="E1085" s="5" t="str">
        <f>IFERROR(__xludf.DUMMYFUNCTION("""COMPUTED_VALUE"""),"Yuzhny/Pivdennyi")</f>
        <v>Yuzhny/Pivdennyi</v>
      </c>
      <c r="F1085" s="5" t="str">
        <f>IFERROR(__xludf.DUMMYFUNCTION("""COMPUTED_VALUE"""),"Yemen")</f>
        <v>Yemen</v>
      </c>
      <c r="G1085" s="5" t="str">
        <f>IFERROR(__xludf.DUMMYFUNCTION("""COMPUTED_VALUE"""),"Wheat")</f>
        <v>Wheat</v>
      </c>
      <c r="H1085" s="6">
        <f>IFERROR(__xludf.DUMMYFUNCTION("""COMPUTED_VALUE"""),37000.0)</f>
        <v>37000</v>
      </c>
      <c r="I1085" s="7">
        <f>IFERROR(__xludf.DUMMYFUNCTION("""COMPUTED_VALUE"""),44803.0)</f>
        <v>44803</v>
      </c>
      <c r="J1085" s="7">
        <f>IFERROR(__xludf.DUMMYFUNCTION("""COMPUTED_VALUE"""),44807.0)</f>
        <v>44807</v>
      </c>
      <c r="K1085" s="5" t="str">
        <f>IFERROR(__xludf.DUMMYFUNCTION("""COMPUTED_VALUE"""),"low-income")</f>
        <v>low-income</v>
      </c>
      <c r="L1085" s="5" t="str">
        <f>IFERROR(__xludf.DUMMYFUNCTION("""COMPUTED_VALUE"""),"Malta")</f>
        <v>Malta</v>
      </c>
      <c r="M1085" s="5" t="str">
        <f>IFERROR(__xludf.DUMMYFUNCTION("""COMPUTED_VALUE"""),"Middle East &amp; North Africa")</f>
        <v>Middle East &amp; North Africa</v>
      </c>
      <c r="N1085" s="5" t="str">
        <f>IFERROR(__xludf.DUMMYFUNCTION("""COMPUTED_VALUE"""),"Asia-Pacific")</f>
        <v>Asia-Pacific</v>
      </c>
      <c r="O1085" s="5" t="str">
        <f>IFERROR(__xludf.DUMMYFUNCTION("""COMPUTED_VALUE"""),"developing")</f>
        <v>developing</v>
      </c>
      <c r="P1085" s="5" t="str">
        <f>IFERROR(__xludf.DUMMYFUNCTION("""COMPUTED_VALUE"""),"WFP")</f>
        <v>WFP</v>
      </c>
      <c r="Q1085" s="5"/>
    </row>
    <row r="1086">
      <c r="A1086" s="5" t="str">
        <f>IFERROR(__xludf.DUMMYFUNCTION("""COMPUTED_VALUE"""),"Outbound")</f>
        <v>Outbound</v>
      </c>
      <c r="B1086" s="5">
        <f>IFERROR(__xludf.DUMMYFUNCTION("""COMPUTED_VALUE"""),59.0)</f>
        <v>59</v>
      </c>
      <c r="C1086" s="5" t="str">
        <f>IFERROR(__xludf.DUMMYFUNCTION("""COMPUTED_VALUE"""),"LADY ZEHMA")</f>
        <v>LADY ZEHMA</v>
      </c>
      <c r="D1086" s="5">
        <f>IFERROR(__xludf.DUMMYFUNCTION("""COMPUTED_VALUE"""),9303431.0)</f>
        <v>9303431</v>
      </c>
      <c r="E1086" s="5" t="str">
        <f>IFERROR(__xludf.DUMMYFUNCTION("""COMPUTED_VALUE"""),"Chornomorsk")</f>
        <v>Chornomorsk</v>
      </c>
      <c r="F1086" s="5" t="str">
        <f>IFERROR(__xludf.DUMMYFUNCTION("""COMPUTED_VALUE"""),"Italy")</f>
        <v>Italy</v>
      </c>
      <c r="G1086" s="5" t="str">
        <f>IFERROR(__xludf.DUMMYFUNCTION("""COMPUTED_VALUE"""),"Corn")</f>
        <v>Corn</v>
      </c>
      <c r="H1086" s="6">
        <f>IFERROR(__xludf.DUMMYFUNCTION("""COMPUTED_VALUE"""),30274.0)</f>
        <v>30274</v>
      </c>
      <c r="I1086" s="7">
        <f>IFERROR(__xludf.DUMMYFUNCTION("""COMPUTED_VALUE"""),44803.0)</f>
        <v>44803</v>
      </c>
      <c r="J1086" s="7">
        <f>IFERROR(__xludf.DUMMYFUNCTION("""COMPUTED_VALUE"""),44807.0)</f>
        <v>44807</v>
      </c>
      <c r="K1086" s="5" t="str">
        <f>IFERROR(__xludf.DUMMYFUNCTION("""COMPUTED_VALUE"""),"high-income")</f>
        <v>high-income</v>
      </c>
      <c r="L1086" s="5" t="str">
        <f>IFERROR(__xludf.DUMMYFUNCTION("""COMPUTED_VALUE"""),"Panama")</f>
        <v>Panama</v>
      </c>
      <c r="M1086" s="5" t="str">
        <f>IFERROR(__xludf.DUMMYFUNCTION("""COMPUTED_VALUE"""),"Europe &amp; Central Asia")</f>
        <v>Europe &amp; Central Asia</v>
      </c>
      <c r="N1086" s="5" t="str">
        <f>IFERROR(__xludf.DUMMYFUNCTION("""COMPUTED_VALUE"""),"Western Europe and Others")</f>
        <v>Western Europe and Others</v>
      </c>
      <c r="O1086" s="5" t="str">
        <f>IFERROR(__xludf.DUMMYFUNCTION("""COMPUTED_VALUE"""),"developed")</f>
        <v>developed</v>
      </c>
      <c r="P1086" s="5"/>
      <c r="Q1086" s="5"/>
    </row>
    <row r="1087">
      <c r="A1087" s="5" t="str">
        <f>IFERROR(__xludf.DUMMYFUNCTION("""COMPUTED_VALUE"""),"Outbound")</f>
        <v>Outbound</v>
      </c>
      <c r="B1087" s="5">
        <f>IFERROR(__xludf.DUMMYFUNCTION("""COMPUTED_VALUE"""),58.0)</f>
        <v>58</v>
      </c>
      <c r="C1087" s="5" t="str">
        <f>IFERROR(__xludf.DUMMYFUNCTION("""COMPUTED_VALUE"""),"MICHALIS")</f>
        <v>MICHALIS</v>
      </c>
      <c r="D1087" s="5">
        <f>IFERROR(__xludf.DUMMYFUNCTION("""COMPUTED_VALUE"""),9545510.0)</f>
        <v>9545510</v>
      </c>
      <c r="E1087" s="5" t="str">
        <f>IFERROR(__xludf.DUMMYFUNCTION("""COMPUTED_VALUE"""),"Odesa")</f>
        <v>Odesa</v>
      </c>
      <c r="F1087" s="5" t="str">
        <f>IFERROR(__xludf.DUMMYFUNCTION("""COMPUTED_VALUE"""),"Spain")</f>
        <v>Spain</v>
      </c>
      <c r="G1087" s="5" t="str">
        <f>IFERROR(__xludf.DUMMYFUNCTION("""COMPUTED_VALUE"""),"Corn")</f>
        <v>Corn</v>
      </c>
      <c r="H1087" s="6">
        <f>IFERROR(__xludf.DUMMYFUNCTION("""COMPUTED_VALUE"""),33000.0)</f>
        <v>33000</v>
      </c>
      <c r="I1087" s="7">
        <f>IFERROR(__xludf.DUMMYFUNCTION("""COMPUTED_VALUE"""),44803.0)</f>
        <v>44803</v>
      </c>
      <c r="J1087" s="7">
        <f>IFERROR(__xludf.DUMMYFUNCTION("""COMPUTED_VALUE"""),44805.0)</f>
        <v>44805</v>
      </c>
      <c r="K1087" s="5" t="str">
        <f>IFERROR(__xludf.DUMMYFUNCTION("""COMPUTED_VALUE"""),"high-income")</f>
        <v>high-income</v>
      </c>
      <c r="L1087" s="5" t="str">
        <f>IFERROR(__xludf.DUMMYFUNCTION("""COMPUTED_VALUE"""),"Marshall Islands")</f>
        <v>Marshall Islands</v>
      </c>
      <c r="M1087" s="5" t="str">
        <f>IFERROR(__xludf.DUMMYFUNCTION("""COMPUTED_VALUE"""),"Europe &amp; Central Asia")</f>
        <v>Europe &amp; Central Asia</v>
      </c>
      <c r="N1087" s="5" t="str">
        <f>IFERROR(__xludf.DUMMYFUNCTION("""COMPUTED_VALUE"""),"Western Europe and Others")</f>
        <v>Western Europe and Others</v>
      </c>
      <c r="O1087" s="5" t="str">
        <f>IFERROR(__xludf.DUMMYFUNCTION("""COMPUTED_VALUE"""),"developed")</f>
        <v>developed</v>
      </c>
      <c r="P1087" s="5"/>
      <c r="Q1087" s="5"/>
    </row>
    <row r="1088">
      <c r="A1088" s="5" t="str">
        <f>IFERROR(__xludf.DUMMYFUNCTION("""COMPUTED_VALUE"""),"Outbound")</f>
        <v>Outbound</v>
      </c>
      <c r="B1088" s="5">
        <f>IFERROR(__xludf.DUMMYFUNCTION("""COMPUTED_VALUE"""),57.0)</f>
        <v>57</v>
      </c>
      <c r="C1088" s="5" t="str">
        <f>IFERROR(__xludf.DUMMYFUNCTION("""COMPUTED_VALUE"""),"SAFFET AGA")</f>
        <v>SAFFET AGA</v>
      </c>
      <c r="D1088" s="5">
        <f>IFERROR(__xludf.DUMMYFUNCTION("""COMPUTED_VALUE"""),9376282.0)</f>
        <v>9376282</v>
      </c>
      <c r="E1088" s="5" t="str">
        <f>IFERROR(__xludf.DUMMYFUNCTION("""COMPUTED_VALUE"""),"Chornomorsk")</f>
        <v>Chornomorsk</v>
      </c>
      <c r="F1088" s="5" t="str">
        <f>IFERROR(__xludf.DUMMYFUNCTION("""COMPUTED_VALUE"""),"Türkiye")</f>
        <v>Türkiye</v>
      </c>
      <c r="G1088" s="5" t="str">
        <f>IFERROR(__xludf.DUMMYFUNCTION("""COMPUTED_VALUE"""),"Corn")</f>
        <v>Corn</v>
      </c>
      <c r="H1088" s="6">
        <f>IFERROR(__xludf.DUMMYFUNCTION("""COMPUTED_VALUE"""),3236.0)</f>
        <v>3236</v>
      </c>
      <c r="I1088" s="7">
        <f>IFERROR(__xludf.DUMMYFUNCTION("""COMPUTED_VALUE"""),44803.0)</f>
        <v>44803</v>
      </c>
      <c r="J1088" s="7">
        <f>IFERROR(__xludf.DUMMYFUNCTION("""COMPUTED_VALUE"""),44805.0)</f>
        <v>44805</v>
      </c>
      <c r="K1088" s="5" t="str">
        <f>IFERROR(__xludf.DUMMYFUNCTION("""COMPUTED_VALUE"""),"upper-middle-income")</f>
        <v>upper-middle-income</v>
      </c>
      <c r="L1088" s="5" t="str">
        <f>IFERROR(__xludf.DUMMYFUNCTION("""COMPUTED_VALUE"""),"Palau")</f>
        <v>Palau</v>
      </c>
      <c r="M1088" s="5" t="str">
        <f>IFERROR(__xludf.DUMMYFUNCTION("""COMPUTED_VALUE"""),"Europe &amp; Central Asia")</f>
        <v>Europe &amp; Central Asia</v>
      </c>
      <c r="N1088" s="5" t="str">
        <f>IFERROR(__xludf.DUMMYFUNCTION("""COMPUTED_VALUE"""),"Asia-Pacific")</f>
        <v>Asia-Pacific</v>
      </c>
      <c r="O1088" s="5" t="str">
        <f>IFERROR(__xludf.DUMMYFUNCTION("""COMPUTED_VALUE"""),"developing")</f>
        <v>developing</v>
      </c>
      <c r="P1088" s="5"/>
      <c r="Q1088" s="5"/>
    </row>
    <row r="1089">
      <c r="A1089" s="5" t="str">
        <f>IFERROR(__xludf.DUMMYFUNCTION("""COMPUTED_VALUE"""),"Outbound")</f>
        <v>Outbound</v>
      </c>
      <c r="B1089" s="5">
        <f>IFERROR(__xludf.DUMMYFUNCTION("""COMPUTED_VALUE"""),56.0)</f>
        <v>56</v>
      </c>
      <c r="C1089" s="5" t="str">
        <f>IFERROR(__xludf.DUMMYFUNCTION("""COMPUTED_VALUE"""),"SEAJOY")</f>
        <v>SEAJOY</v>
      </c>
      <c r="D1089" s="5">
        <f>IFERROR(__xludf.DUMMYFUNCTION("""COMPUTED_VALUE"""),9213820.0)</f>
        <v>9213820</v>
      </c>
      <c r="E1089" s="5" t="str">
        <f>IFERROR(__xludf.DUMMYFUNCTION("""COMPUTED_VALUE"""),"Chornomorsk")</f>
        <v>Chornomorsk</v>
      </c>
      <c r="F1089" s="5" t="str">
        <f>IFERROR(__xludf.DUMMYFUNCTION("""COMPUTED_VALUE"""),"Spain")</f>
        <v>Spain</v>
      </c>
      <c r="G1089" s="5" t="str">
        <f>IFERROR(__xludf.DUMMYFUNCTION("""COMPUTED_VALUE"""),"Corn")</f>
        <v>Corn</v>
      </c>
      <c r="H1089" s="6">
        <f>IFERROR(__xludf.DUMMYFUNCTION("""COMPUTED_VALUE"""),64215.0)</f>
        <v>64215</v>
      </c>
      <c r="I1089" s="7">
        <f>IFERROR(__xludf.DUMMYFUNCTION("""COMPUTED_VALUE"""),44803.0)</f>
        <v>44803</v>
      </c>
      <c r="J1089" s="7">
        <f>IFERROR(__xludf.DUMMYFUNCTION("""COMPUTED_VALUE"""),44805.0)</f>
        <v>44805</v>
      </c>
      <c r="K1089" s="5" t="str">
        <f>IFERROR(__xludf.DUMMYFUNCTION("""COMPUTED_VALUE"""),"high-income")</f>
        <v>high-income</v>
      </c>
      <c r="L1089" s="5" t="str">
        <f>IFERROR(__xludf.DUMMYFUNCTION("""COMPUTED_VALUE"""),"Malta")</f>
        <v>Malta</v>
      </c>
      <c r="M1089" s="5" t="str">
        <f>IFERROR(__xludf.DUMMYFUNCTION("""COMPUTED_VALUE"""),"Europe &amp; Central Asia")</f>
        <v>Europe &amp; Central Asia</v>
      </c>
      <c r="N1089" s="5" t="str">
        <f>IFERROR(__xludf.DUMMYFUNCTION("""COMPUTED_VALUE"""),"Western Europe and Others")</f>
        <v>Western Europe and Others</v>
      </c>
      <c r="O1089" s="5" t="str">
        <f>IFERROR(__xludf.DUMMYFUNCTION("""COMPUTED_VALUE"""),"developed")</f>
        <v>developed</v>
      </c>
      <c r="P1089" s="5"/>
      <c r="Q1089" s="5"/>
    </row>
    <row r="1090">
      <c r="A1090" s="5" t="str">
        <f>IFERROR(__xludf.DUMMYFUNCTION("""COMPUTED_VALUE"""),"Outbound")</f>
        <v>Outbound</v>
      </c>
      <c r="B1090" s="5">
        <f>IFERROR(__xludf.DUMMYFUNCTION("""COMPUTED_VALUE"""),55.0)</f>
        <v>55</v>
      </c>
      <c r="C1090" s="5" t="str">
        <f>IFERROR(__xludf.DUMMYFUNCTION("""COMPUTED_VALUE"""),"ANASTASIA")</f>
        <v>ANASTASIA</v>
      </c>
      <c r="D1090" s="5">
        <f>IFERROR(__xludf.DUMMYFUNCTION("""COMPUTED_VALUE"""),8926121.0)</f>
        <v>8926121</v>
      </c>
      <c r="E1090" s="5" t="str">
        <f>IFERROR(__xludf.DUMMYFUNCTION("""COMPUTED_VALUE"""),"Chornomorsk")</f>
        <v>Chornomorsk</v>
      </c>
      <c r="F1090" s="5" t="str">
        <f>IFERROR(__xludf.DUMMYFUNCTION("""COMPUTED_VALUE"""),"Türkiye")</f>
        <v>Türkiye</v>
      </c>
      <c r="G1090" s="5" t="str">
        <f>IFERROR(__xludf.DUMMYFUNCTION("""COMPUTED_VALUE"""),"Wheat")</f>
        <v>Wheat</v>
      </c>
      <c r="H1090" s="6">
        <f>IFERROR(__xludf.DUMMYFUNCTION("""COMPUTED_VALUE"""),3800.0)</f>
        <v>3800</v>
      </c>
      <c r="I1090" s="7">
        <f>IFERROR(__xludf.DUMMYFUNCTION("""COMPUTED_VALUE"""),44802.0)</f>
        <v>44802</v>
      </c>
      <c r="J1090" s="7">
        <f>IFERROR(__xludf.DUMMYFUNCTION("""COMPUTED_VALUE"""),44808.0)</f>
        <v>44808</v>
      </c>
      <c r="K1090" s="5" t="str">
        <f>IFERROR(__xludf.DUMMYFUNCTION("""COMPUTED_VALUE"""),"upper-middle-income")</f>
        <v>upper-middle-income</v>
      </c>
      <c r="L1090" s="5" t="str">
        <f>IFERROR(__xludf.DUMMYFUNCTION("""COMPUTED_VALUE"""),"Palau")</f>
        <v>Palau</v>
      </c>
      <c r="M1090" s="5" t="str">
        <f>IFERROR(__xludf.DUMMYFUNCTION("""COMPUTED_VALUE"""),"Europe &amp; Central Asia")</f>
        <v>Europe &amp; Central Asia</v>
      </c>
      <c r="N1090" s="5" t="str">
        <f>IFERROR(__xludf.DUMMYFUNCTION("""COMPUTED_VALUE"""),"Asia-Pacific")</f>
        <v>Asia-Pacific</v>
      </c>
      <c r="O1090" s="5" t="str">
        <f>IFERROR(__xludf.DUMMYFUNCTION("""COMPUTED_VALUE"""),"developing")</f>
        <v>developing</v>
      </c>
      <c r="P1090" s="5"/>
      <c r="Q1090" s="5"/>
    </row>
    <row r="1091">
      <c r="A1091" s="5" t="str">
        <f>IFERROR(__xludf.DUMMYFUNCTION("""COMPUTED_VALUE"""),"Outbound")</f>
        <v>Outbound</v>
      </c>
      <c r="B1091" s="5">
        <f>IFERROR(__xludf.DUMMYFUNCTION("""COMPUTED_VALUE"""),54.0)</f>
        <v>54</v>
      </c>
      <c r="C1091" s="5" t="str">
        <f>IFERROR(__xludf.DUMMYFUNCTION("""COMPUTED_VALUE"""),"PEACE M")</f>
        <v>PEACE M</v>
      </c>
      <c r="D1091" s="5">
        <f>IFERROR(__xludf.DUMMYFUNCTION("""COMPUTED_VALUE"""),9086318.0)</f>
        <v>9086318</v>
      </c>
      <c r="E1091" s="5" t="str">
        <f>IFERROR(__xludf.DUMMYFUNCTION("""COMPUTED_VALUE"""),"Odesa")</f>
        <v>Odesa</v>
      </c>
      <c r="F1091" s="5" t="str">
        <f>IFERROR(__xludf.DUMMYFUNCTION("""COMPUTED_VALUE"""),"Romania")</f>
        <v>Romania</v>
      </c>
      <c r="G1091" s="5" t="str">
        <f>IFERROR(__xludf.DUMMYFUNCTION("""COMPUTED_VALUE"""),"Corn")</f>
        <v>Corn</v>
      </c>
      <c r="H1091" s="6">
        <f>IFERROR(__xludf.DUMMYFUNCTION("""COMPUTED_VALUE"""),24485.0)</f>
        <v>24485</v>
      </c>
      <c r="I1091" s="7">
        <f>IFERROR(__xludf.DUMMYFUNCTION("""COMPUTED_VALUE"""),44802.0)</f>
        <v>44802</v>
      </c>
      <c r="J1091" s="7">
        <f>IFERROR(__xludf.DUMMYFUNCTION("""COMPUTED_VALUE"""),44805.0)</f>
        <v>44805</v>
      </c>
      <c r="K1091" s="5" t="str">
        <f>IFERROR(__xludf.DUMMYFUNCTION("""COMPUTED_VALUE"""),"high-income")</f>
        <v>high-income</v>
      </c>
      <c r="L1091" s="5" t="str">
        <f>IFERROR(__xludf.DUMMYFUNCTION("""COMPUTED_VALUE"""),"Palau")</f>
        <v>Palau</v>
      </c>
      <c r="M1091" s="5" t="str">
        <f>IFERROR(__xludf.DUMMYFUNCTION("""COMPUTED_VALUE"""),"Europe &amp; Central Asia")</f>
        <v>Europe &amp; Central Asia</v>
      </c>
      <c r="N1091" s="5" t="str">
        <f>IFERROR(__xludf.DUMMYFUNCTION("""COMPUTED_VALUE"""),"Eastern Europe")</f>
        <v>Eastern Europe</v>
      </c>
      <c r="O1091" s="5" t="str">
        <f>IFERROR(__xludf.DUMMYFUNCTION("""COMPUTED_VALUE"""),"developed")</f>
        <v>developed</v>
      </c>
      <c r="P1091" s="5"/>
      <c r="Q1091" s="5"/>
    </row>
    <row r="1092">
      <c r="A1092" s="5" t="str">
        <f>IFERROR(__xludf.DUMMYFUNCTION("""COMPUTED_VALUE"""),"Outbound")</f>
        <v>Outbound</v>
      </c>
      <c r="B1092" s="5">
        <f>IFERROR(__xludf.DUMMYFUNCTION("""COMPUTED_VALUE"""),53.0)</f>
        <v>53</v>
      </c>
      <c r="C1092" s="5" t="str">
        <f>IFERROR(__xludf.DUMMYFUNCTION("""COMPUTED_VALUE"""),"ASH BALTIC")</f>
        <v>ASH BALTIC</v>
      </c>
      <c r="D1092" s="5">
        <f>IFERROR(__xludf.DUMMYFUNCTION("""COMPUTED_VALUE"""),9606493.0)</f>
        <v>9606493</v>
      </c>
      <c r="E1092" s="5" t="str">
        <f>IFERROR(__xludf.DUMMYFUNCTION("""COMPUTED_VALUE"""),"Odesa")</f>
        <v>Odesa</v>
      </c>
      <c r="F1092" s="5" t="str">
        <f>IFERROR(__xludf.DUMMYFUNCTION("""COMPUTED_VALUE"""),"Egypt")</f>
        <v>Egypt</v>
      </c>
      <c r="G1092" s="5" t="str">
        <f>IFERROR(__xludf.DUMMYFUNCTION("""COMPUTED_VALUE"""),"Corn")</f>
        <v>Corn</v>
      </c>
      <c r="H1092" s="6">
        <f>IFERROR(__xludf.DUMMYFUNCTION("""COMPUTED_VALUE"""),11000.0)</f>
        <v>11000</v>
      </c>
      <c r="I1092" s="7">
        <f>IFERROR(__xludf.DUMMYFUNCTION("""COMPUTED_VALUE"""),44802.0)</f>
        <v>44802</v>
      </c>
      <c r="J1092" s="7">
        <f>IFERROR(__xludf.DUMMYFUNCTION("""COMPUTED_VALUE"""),44805.0)</f>
        <v>44805</v>
      </c>
      <c r="K1092" s="5" t="str">
        <f>IFERROR(__xludf.DUMMYFUNCTION("""COMPUTED_VALUE"""),"lower-middle income")</f>
        <v>lower-middle income</v>
      </c>
      <c r="L1092" s="5" t="str">
        <f>IFERROR(__xludf.DUMMYFUNCTION("""COMPUTED_VALUE"""),"Marshall Islands")</f>
        <v>Marshall Islands</v>
      </c>
      <c r="M1092" s="5" t="str">
        <f>IFERROR(__xludf.DUMMYFUNCTION("""COMPUTED_VALUE"""),"Middle East &amp; North Africa")</f>
        <v>Middle East &amp; North Africa</v>
      </c>
      <c r="N1092" s="5" t="str">
        <f>IFERROR(__xludf.DUMMYFUNCTION("""COMPUTED_VALUE"""),"Africa")</f>
        <v>Africa</v>
      </c>
      <c r="O1092" s="5" t="str">
        <f>IFERROR(__xludf.DUMMYFUNCTION("""COMPUTED_VALUE"""),"developing")</f>
        <v>developing</v>
      </c>
      <c r="P1092" s="5"/>
      <c r="Q1092" s="5"/>
    </row>
    <row r="1093">
      <c r="A1093" s="5" t="str">
        <f>IFERROR(__xludf.DUMMYFUNCTION("""COMPUTED_VALUE"""),"Outbound")</f>
        <v>Outbound</v>
      </c>
      <c r="B1093" s="5">
        <f>IFERROR(__xludf.DUMMYFUNCTION("""COMPUTED_VALUE"""),52.0)</f>
        <v>52</v>
      </c>
      <c r="C1093" s="5" t="str">
        <f>IFERROR(__xludf.DUMMYFUNCTION("""COMPUTED_VALUE"""),"AEOLOS")</f>
        <v>AEOLOS</v>
      </c>
      <c r="D1093" s="5">
        <f>IFERROR(__xludf.DUMMYFUNCTION("""COMPUTED_VALUE"""),9228382.0)</f>
        <v>9228382</v>
      </c>
      <c r="E1093" s="5" t="str">
        <f>IFERROR(__xludf.DUMMYFUNCTION("""COMPUTED_VALUE"""),"Odesa")</f>
        <v>Odesa</v>
      </c>
      <c r="F1093" s="5" t="str">
        <f>IFERROR(__xludf.DUMMYFUNCTION("""COMPUTED_VALUE"""),"The Netherlands")</f>
        <v>The Netherlands</v>
      </c>
      <c r="G1093" s="5" t="str">
        <f>IFERROR(__xludf.DUMMYFUNCTION("""COMPUTED_VALUE"""),"Corn")</f>
        <v>Corn</v>
      </c>
      <c r="H1093" s="6">
        <f>IFERROR(__xludf.DUMMYFUNCTION("""COMPUTED_VALUE"""),30000.0)</f>
        <v>30000</v>
      </c>
      <c r="I1093" s="7">
        <f>IFERROR(__xludf.DUMMYFUNCTION("""COMPUTED_VALUE"""),44801.0)</f>
        <v>44801</v>
      </c>
      <c r="J1093" s="7">
        <f>IFERROR(__xludf.DUMMYFUNCTION("""COMPUTED_VALUE"""),44806.0)</f>
        <v>44806</v>
      </c>
      <c r="K1093" s="5" t="str">
        <f>IFERROR(__xludf.DUMMYFUNCTION("""COMPUTED_VALUE"""),"high-income")</f>
        <v>high-income</v>
      </c>
      <c r="L1093" s="5" t="str">
        <f>IFERROR(__xludf.DUMMYFUNCTION("""COMPUTED_VALUE"""),"Marshall Islands")</f>
        <v>Marshall Islands</v>
      </c>
      <c r="M1093" s="5" t="str">
        <f>IFERROR(__xludf.DUMMYFUNCTION("""COMPUTED_VALUE"""),"Europe &amp; Central Asia")</f>
        <v>Europe &amp; Central Asia</v>
      </c>
      <c r="N1093" s="5" t="str">
        <f>IFERROR(__xludf.DUMMYFUNCTION("""COMPUTED_VALUE"""),"Western Europe and Others")</f>
        <v>Western Europe and Others</v>
      </c>
      <c r="O1093" s="5" t="str">
        <f>IFERROR(__xludf.DUMMYFUNCTION("""COMPUTED_VALUE"""),"developed")</f>
        <v>developed</v>
      </c>
      <c r="P1093" s="5"/>
      <c r="Q1093" s="5"/>
    </row>
    <row r="1094">
      <c r="A1094" s="5" t="str">
        <f>IFERROR(__xludf.DUMMYFUNCTION("""COMPUTED_VALUE"""),"Outbound")</f>
        <v>Outbound</v>
      </c>
      <c r="B1094" s="5">
        <f>IFERROR(__xludf.DUMMYFUNCTION("""COMPUTED_VALUE"""),51.0)</f>
        <v>51</v>
      </c>
      <c r="C1094" s="5" t="str">
        <f>IFERROR(__xludf.DUMMYFUNCTION("""COMPUTED_VALUE"""),"FPMC B 201")</f>
        <v>FPMC B 201</v>
      </c>
      <c r="D1094" s="5">
        <f>IFERROR(__xludf.DUMMYFUNCTION("""COMPUTED_VALUE"""),9468229.0)</f>
        <v>9468229</v>
      </c>
      <c r="E1094" s="5" t="str">
        <f>IFERROR(__xludf.DUMMYFUNCTION("""COMPUTED_VALUE"""),"Odesa")</f>
        <v>Odesa</v>
      </c>
      <c r="F1094" s="5" t="str">
        <f>IFERROR(__xludf.DUMMYFUNCTION("""COMPUTED_VALUE"""),"Egypt")</f>
        <v>Egypt</v>
      </c>
      <c r="G1094" s="5" t="str">
        <f>IFERROR(__xludf.DUMMYFUNCTION("""COMPUTED_VALUE"""),"Wheat")</f>
        <v>Wheat</v>
      </c>
      <c r="H1094" s="6">
        <f>IFERROR(__xludf.DUMMYFUNCTION("""COMPUTED_VALUE"""),33000.0)</f>
        <v>33000</v>
      </c>
      <c r="I1094" s="7">
        <f>IFERROR(__xludf.DUMMYFUNCTION("""COMPUTED_VALUE"""),44801.0)</f>
        <v>44801</v>
      </c>
      <c r="J1094" s="7">
        <f>IFERROR(__xludf.DUMMYFUNCTION("""COMPUTED_VALUE"""),44805.0)</f>
        <v>44805</v>
      </c>
      <c r="K1094" s="5" t="str">
        <f>IFERROR(__xludf.DUMMYFUNCTION("""COMPUTED_VALUE"""),"lower-middle income")</f>
        <v>lower-middle income</v>
      </c>
      <c r="L1094" s="5" t="str">
        <f>IFERROR(__xludf.DUMMYFUNCTION("""COMPUTED_VALUE"""),"Liberia")</f>
        <v>Liberia</v>
      </c>
      <c r="M1094" s="5" t="str">
        <f>IFERROR(__xludf.DUMMYFUNCTION("""COMPUTED_VALUE"""),"Middle East &amp; North Africa")</f>
        <v>Middle East &amp; North Africa</v>
      </c>
      <c r="N1094" s="5" t="str">
        <f>IFERROR(__xludf.DUMMYFUNCTION("""COMPUTED_VALUE"""),"Africa")</f>
        <v>Africa</v>
      </c>
      <c r="O1094" s="5" t="str">
        <f>IFERROR(__xludf.DUMMYFUNCTION("""COMPUTED_VALUE"""),"developing")</f>
        <v>developing</v>
      </c>
      <c r="P1094" s="5"/>
      <c r="Q1094" s="5"/>
    </row>
    <row r="1095">
      <c r="A1095" s="5" t="str">
        <f>IFERROR(__xludf.DUMMYFUNCTION("""COMPUTED_VALUE"""),"Outbound")</f>
        <v>Outbound</v>
      </c>
      <c r="B1095" s="5">
        <f>IFERROR(__xludf.DUMMYFUNCTION("""COMPUTED_VALUE"""),50.0)</f>
        <v>50</v>
      </c>
      <c r="C1095" s="5" t="str">
        <f>IFERROR(__xludf.DUMMYFUNCTION("""COMPUTED_VALUE"""),"MELINA")</f>
        <v>MELINA</v>
      </c>
      <c r="D1095" s="5">
        <f>IFERROR(__xludf.DUMMYFUNCTION("""COMPUTED_VALUE"""),9550424.0)</f>
        <v>9550424</v>
      </c>
      <c r="E1095" s="5" t="str">
        <f>IFERROR(__xludf.DUMMYFUNCTION("""COMPUTED_VALUE"""),"Yuzhny/Pivdennyi")</f>
        <v>Yuzhny/Pivdennyi</v>
      </c>
      <c r="F1095" s="5" t="str">
        <f>IFERROR(__xludf.DUMMYFUNCTION("""COMPUTED_VALUE"""),"Romania")</f>
        <v>Romania</v>
      </c>
      <c r="G1095" s="5" t="str">
        <f>IFERROR(__xludf.DUMMYFUNCTION("""COMPUTED_VALUE"""),"Corn")</f>
        <v>Corn</v>
      </c>
      <c r="H1095" s="6">
        <f>IFERROR(__xludf.DUMMYFUNCTION("""COMPUTED_VALUE"""),27500.0)</f>
        <v>27500</v>
      </c>
      <c r="I1095" s="7">
        <f>IFERROR(__xludf.DUMMYFUNCTION("""COMPUTED_VALUE"""),44801.0)</f>
        <v>44801</v>
      </c>
      <c r="J1095" s="7">
        <f>IFERROR(__xludf.DUMMYFUNCTION("""COMPUTED_VALUE"""),44804.0)</f>
        <v>44804</v>
      </c>
      <c r="K1095" s="5" t="str">
        <f>IFERROR(__xludf.DUMMYFUNCTION("""COMPUTED_VALUE"""),"high-income")</f>
        <v>high-income</v>
      </c>
      <c r="L1095" s="5" t="str">
        <f>IFERROR(__xludf.DUMMYFUNCTION("""COMPUTED_VALUE"""),"Liberia")</f>
        <v>Liberia</v>
      </c>
      <c r="M1095" s="5" t="str">
        <f>IFERROR(__xludf.DUMMYFUNCTION("""COMPUTED_VALUE"""),"Europe &amp; Central Asia")</f>
        <v>Europe &amp; Central Asia</v>
      </c>
      <c r="N1095" s="5" t="str">
        <f>IFERROR(__xludf.DUMMYFUNCTION("""COMPUTED_VALUE"""),"Eastern Europe")</f>
        <v>Eastern Europe</v>
      </c>
      <c r="O1095" s="5" t="str">
        <f>IFERROR(__xludf.DUMMYFUNCTION("""COMPUTED_VALUE"""),"developed")</f>
        <v>developed</v>
      </c>
      <c r="P1095" s="5"/>
      <c r="Q1095" s="5"/>
    </row>
    <row r="1096">
      <c r="A1096" s="5" t="str">
        <f>IFERROR(__xludf.DUMMYFUNCTION("""COMPUTED_VALUE"""),"Outbound")</f>
        <v>Outbound</v>
      </c>
      <c r="B1096" s="5">
        <f>IFERROR(__xludf.DUMMYFUNCTION("""COMPUTED_VALUE"""),49.0)</f>
        <v>49</v>
      </c>
      <c r="C1096" s="5" t="str">
        <f>IFERROR(__xludf.DUMMYFUNCTION("""COMPUTED_VALUE"""),"SILVER LADY")</f>
        <v>SILVER LADY</v>
      </c>
      <c r="D1096" s="5">
        <f>IFERROR(__xludf.DUMMYFUNCTION("""COMPUTED_VALUE"""),9279367.0)</f>
        <v>9279367</v>
      </c>
      <c r="E1096" s="5" t="str">
        <f>IFERROR(__xludf.DUMMYFUNCTION("""COMPUTED_VALUE"""),"Yuzhny/Pivdennyi")</f>
        <v>Yuzhny/Pivdennyi</v>
      </c>
      <c r="F1096" s="5" t="str">
        <f>IFERROR(__xludf.DUMMYFUNCTION("""COMPUTED_VALUE"""),"Italy")</f>
        <v>Italy</v>
      </c>
      <c r="G1096" s="5" t="str">
        <f>IFERROR(__xludf.DUMMYFUNCTION("""COMPUTED_VALUE"""),"Corn")</f>
        <v>Corn</v>
      </c>
      <c r="H1096" s="6">
        <f>IFERROR(__xludf.DUMMYFUNCTION("""COMPUTED_VALUE"""),39494.0)</f>
        <v>39494</v>
      </c>
      <c r="I1096" s="7">
        <f>IFERROR(__xludf.DUMMYFUNCTION("""COMPUTED_VALUE"""),44801.0)</f>
        <v>44801</v>
      </c>
      <c r="J1096" s="7">
        <f>IFERROR(__xludf.DUMMYFUNCTION("""COMPUTED_VALUE"""),44804.0)</f>
        <v>44804</v>
      </c>
      <c r="K1096" s="5" t="str">
        <f>IFERROR(__xludf.DUMMYFUNCTION("""COMPUTED_VALUE"""),"high-income")</f>
        <v>high-income</v>
      </c>
      <c r="L1096" s="5" t="str">
        <f>IFERROR(__xludf.DUMMYFUNCTION("""COMPUTED_VALUE"""),"Malta")</f>
        <v>Malta</v>
      </c>
      <c r="M1096" s="5" t="str">
        <f>IFERROR(__xludf.DUMMYFUNCTION("""COMPUTED_VALUE"""),"Europe &amp; Central Asia")</f>
        <v>Europe &amp; Central Asia</v>
      </c>
      <c r="N1096" s="5" t="str">
        <f>IFERROR(__xludf.DUMMYFUNCTION("""COMPUTED_VALUE"""),"Western Europe and Others")</f>
        <v>Western Europe and Others</v>
      </c>
      <c r="O1096" s="5" t="str">
        <f>IFERROR(__xludf.DUMMYFUNCTION("""COMPUTED_VALUE"""),"developed")</f>
        <v>developed</v>
      </c>
      <c r="P1096" s="5"/>
      <c r="Q1096" s="5"/>
    </row>
    <row r="1097">
      <c r="A1097" s="5" t="str">
        <f>IFERROR(__xludf.DUMMYFUNCTION("""COMPUTED_VALUE"""),"Outbound")</f>
        <v>Outbound</v>
      </c>
      <c r="B1097" s="5">
        <f>IFERROR(__xludf.DUMMYFUNCTION("""COMPUTED_VALUE"""),48.0)</f>
        <v>48</v>
      </c>
      <c r="C1097" s="5" t="str">
        <f>IFERROR(__xludf.DUMMYFUNCTION("""COMPUTED_VALUE"""),"DS SOFIE BULKER")</f>
        <v>DS SOFIE BULKER</v>
      </c>
      <c r="D1097" s="5">
        <f>IFERROR(__xludf.DUMMYFUNCTION("""COMPUTED_VALUE"""),9310604.0)</f>
        <v>9310604</v>
      </c>
      <c r="E1097" s="5" t="str">
        <f>IFERROR(__xludf.DUMMYFUNCTION("""COMPUTED_VALUE"""),"Odesa")</f>
        <v>Odesa</v>
      </c>
      <c r="F1097" s="5" t="str">
        <f>IFERROR(__xludf.DUMMYFUNCTION("""COMPUTED_VALUE"""),"Spain")</f>
        <v>Spain</v>
      </c>
      <c r="G1097" s="5" t="str">
        <f>IFERROR(__xludf.DUMMYFUNCTION("""COMPUTED_VALUE"""),"Barley")</f>
        <v>Barley</v>
      </c>
      <c r="H1097" s="6">
        <f>IFERROR(__xludf.DUMMYFUNCTION("""COMPUTED_VALUE"""),27000.0)</f>
        <v>27000</v>
      </c>
      <c r="I1097" s="7">
        <f>IFERROR(__xludf.DUMMYFUNCTION("""COMPUTED_VALUE"""),44801.0)</f>
        <v>44801</v>
      </c>
      <c r="J1097" s="7">
        <f>IFERROR(__xludf.DUMMYFUNCTION("""COMPUTED_VALUE"""),44804.0)</f>
        <v>44804</v>
      </c>
      <c r="K1097" s="5" t="str">
        <f>IFERROR(__xludf.DUMMYFUNCTION("""COMPUTED_VALUE"""),"high-income")</f>
        <v>high-income</v>
      </c>
      <c r="L1097" s="5" t="str">
        <f>IFERROR(__xludf.DUMMYFUNCTION("""COMPUTED_VALUE"""),"Marshall Islands")</f>
        <v>Marshall Islands</v>
      </c>
      <c r="M1097" s="5" t="str">
        <f>IFERROR(__xludf.DUMMYFUNCTION("""COMPUTED_VALUE"""),"Europe &amp; Central Asia")</f>
        <v>Europe &amp; Central Asia</v>
      </c>
      <c r="N1097" s="5" t="str">
        <f>IFERROR(__xludf.DUMMYFUNCTION("""COMPUTED_VALUE"""),"Western Europe and Others")</f>
        <v>Western Europe and Others</v>
      </c>
      <c r="O1097" s="5" t="str">
        <f>IFERROR(__xludf.DUMMYFUNCTION("""COMPUTED_VALUE"""),"developed")</f>
        <v>developed</v>
      </c>
      <c r="P1097" s="5"/>
      <c r="Q1097" s="5"/>
    </row>
    <row r="1098">
      <c r="A1098" s="5" t="str">
        <f>IFERROR(__xludf.DUMMYFUNCTION("""COMPUTED_VALUE"""),"Outbound")</f>
        <v>Outbound</v>
      </c>
      <c r="B1098" s="5">
        <f>IFERROR(__xludf.DUMMYFUNCTION("""COMPUTED_VALUE"""),47.0)</f>
        <v>47</v>
      </c>
      <c r="C1098" s="5" t="str">
        <f>IFERROR(__xludf.DUMMYFUNCTION("""COMPUTED_VALUE"""),"SSI INVINCIBLE II")</f>
        <v>SSI INVINCIBLE II</v>
      </c>
      <c r="D1098" s="5">
        <f>IFERROR(__xludf.DUMMYFUNCTION("""COMPUTED_VALUE"""),9434747.0)</f>
        <v>9434747</v>
      </c>
      <c r="E1098" s="5" t="str">
        <f>IFERROR(__xludf.DUMMYFUNCTION("""COMPUTED_VALUE"""),"Chornomorsk")</f>
        <v>Chornomorsk</v>
      </c>
      <c r="F1098" s="5" t="str">
        <f>IFERROR(__xludf.DUMMYFUNCTION("""COMPUTED_VALUE"""),"China")</f>
        <v>China</v>
      </c>
      <c r="G1098" s="5" t="str">
        <f>IFERROR(__xludf.DUMMYFUNCTION("""COMPUTED_VALUE"""),"Barley")</f>
        <v>Barley</v>
      </c>
      <c r="H1098" s="6">
        <f>IFERROR(__xludf.DUMMYFUNCTION("""COMPUTED_VALUE"""),49500.0)</f>
        <v>49500</v>
      </c>
      <c r="I1098" s="7">
        <f>IFERROR(__xludf.DUMMYFUNCTION("""COMPUTED_VALUE"""),44801.0)</f>
        <v>44801</v>
      </c>
      <c r="J1098" s="7">
        <f>IFERROR(__xludf.DUMMYFUNCTION("""COMPUTED_VALUE"""),44804.0)</f>
        <v>44804</v>
      </c>
      <c r="K1098" s="5" t="str">
        <f>IFERROR(__xludf.DUMMYFUNCTION("""COMPUTED_VALUE"""),"upper-middle-income")</f>
        <v>upper-middle-income</v>
      </c>
      <c r="L1098" s="5" t="str">
        <f>IFERROR(__xludf.DUMMYFUNCTION("""COMPUTED_VALUE"""),"Marshall Islands")</f>
        <v>Marshall Islands</v>
      </c>
      <c r="M1098" s="5" t="str">
        <f>IFERROR(__xludf.DUMMYFUNCTION("""COMPUTED_VALUE"""),"East Asia &amp; Pacific")</f>
        <v>East Asia &amp; Pacific</v>
      </c>
      <c r="N1098" s="5" t="str">
        <f>IFERROR(__xludf.DUMMYFUNCTION("""COMPUTED_VALUE"""),"Asia-Pacific")</f>
        <v>Asia-Pacific</v>
      </c>
      <c r="O1098" s="5" t="str">
        <f>IFERROR(__xludf.DUMMYFUNCTION("""COMPUTED_VALUE"""),"developing")</f>
        <v>developing</v>
      </c>
      <c r="P1098" s="5"/>
      <c r="Q1098" s="5"/>
    </row>
    <row r="1099">
      <c r="A1099" s="5" t="str">
        <f>IFERROR(__xludf.DUMMYFUNCTION("""COMPUTED_VALUE"""),"Outbound")</f>
        <v>Outbound</v>
      </c>
      <c r="B1099" s="5">
        <f>IFERROR(__xludf.DUMMYFUNCTION("""COMPUTED_VALUE"""),46.0)</f>
        <v>46</v>
      </c>
      <c r="C1099" s="5" t="str">
        <f>IFERROR(__xludf.DUMMYFUNCTION("""COMPUTED_VALUE"""),"S BREEZE")</f>
        <v>S BREEZE</v>
      </c>
      <c r="D1099" s="5">
        <f>IFERROR(__xludf.DUMMYFUNCTION("""COMPUTED_VALUE"""),9317145.0)</f>
        <v>9317145</v>
      </c>
      <c r="E1099" s="5" t="str">
        <f>IFERROR(__xludf.DUMMYFUNCTION("""COMPUTED_VALUE"""),"Chornomorsk")</f>
        <v>Chornomorsk</v>
      </c>
      <c r="F1099" s="5" t="str">
        <f>IFERROR(__xludf.DUMMYFUNCTION("""COMPUTED_VALUE"""),"Egypt")</f>
        <v>Egypt</v>
      </c>
      <c r="G1099" s="5" t="str">
        <f>IFERROR(__xludf.DUMMYFUNCTION("""COMPUTED_VALUE"""),"Corn")</f>
        <v>Corn</v>
      </c>
      <c r="H1099" s="6">
        <f>IFERROR(__xludf.DUMMYFUNCTION("""COMPUTED_VALUE"""),44000.0)</f>
        <v>44000</v>
      </c>
      <c r="I1099" s="7">
        <f>IFERROR(__xludf.DUMMYFUNCTION("""COMPUTED_VALUE"""),44800.0)</f>
        <v>44800</v>
      </c>
      <c r="J1099" s="7">
        <f>IFERROR(__xludf.DUMMYFUNCTION("""COMPUTED_VALUE"""),44805.0)</f>
        <v>44805</v>
      </c>
      <c r="K1099" s="5" t="str">
        <f>IFERROR(__xludf.DUMMYFUNCTION("""COMPUTED_VALUE"""),"lower-middle income")</f>
        <v>lower-middle income</v>
      </c>
      <c r="L1099" s="5" t="str">
        <f>IFERROR(__xludf.DUMMYFUNCTION("""COMPUTED_VALUE"""),"Liberia")</f>
        <v>Liberia</v>
      </c>
      <c r="M1099" s="5" t="str">
        <f>IFERROR(__xludf.DUMMYFUNCTION("""COMPUTED_VALUE"""),"Middle East &amp; North Africa")</f>
        <v>Middle East &amp; North Africa</v>
      </c>
      <c r="N1099" s="5" t="str">
        <f>IFERROR(__xludf.DUMMYFUNCTION("""COMPUTED_VALUE"""),"Africa")</f>
        <v>Africa</v>
      </c>
      <c r="O1099" s="5" t="str">
        <f>IFERROR(__xludf.DUMMYFUNCTION("""COMPUTED_VALUE"""),"developing")</f>
        <v>developing</v>
      </c>
      <c r="P1099" s="5"/>
      <c r="Q1099" s="5" t="str">
        <f>IFERROR(__xludf.DUMMYFUNCTION("""COMPUTED_VALUE"""),"Stranded")</f>
        <v>Stranded</v>
      </c>
    </row>
    <row r="1100">
      <c r="A1100" s="5" t="str">
        <f>IFERROR(__xludf.DUMMYFUNCTION("""COMPUTED_VALUE"""),"Outbound")</f>
        <v>Outbound</v>
      </c>
      <c r="B1100" s="5">
        <f>IFERROR(__xludf.DUMMYFUNCTION("""COMPUTED_VALUE"""),45.0)</f>
        <v>45</v>
      </c>
      <c r="C1100" s="5" t="str">
        <f>IFERROR(__xludf.DUMMYFUNCTION("""COMPUTED_VALUE"""),"ORIS SOFI")</f>
        <v>ORIS SOFI</v>
      </c>
      <c r="D1100" s="5">
        <f>IFERROR(__xludf.DUMMYFUNCTION("""COMPUTED_VALUE"""),8920282.0)</f>
        <v>8920282</v>
      </c>
      <c r="E1100" s="5" t="str">
        <f>IFERROR(__xludf.DUMMYFUNCTION("""COMPUTED_VALUE"""),"Yuzhny/Pivdennyi")</f>
        <v>Yuzhny/Pivdennyi</v>
      </c>
      <c r="F1100" s="5" t="str">
        <f>IFERROR(__xludf.DUMMYFUNCTION("""COMPUTED_VALUE"""),"Türkiye")</f>
        <v>Türkiye</v>
      </c>
      <c r="G1100" s="5" t="str">
        <f>IFERROR(__xludf.DUMMYFUNCTION("""COMPUTED_VALUE"""),"Sunflower oil")</f>
        <v>Sunflower oil</v>
      </c>
      <c r="H1100" s="6">
        <f>IFERROR(__xludf.DUMMYFUNCTION("""COMPUTED_VALUE"""),5900.0)</f>
        <v>5900</v>
      </c>
      <c r="I1100" s="7">
        <f>IFERROR(__xludf.DUMMYFUNCTION("""COMPUTED_VALUE"""),44800.0)</f>
        <v>44800</v>
      </c>
      <c r="J1100" s="7">
        <f>IFERROR(__xludf.DUMMYFUNCTION("""COMPUTED_VALUE"""),44802.0)</f>
        <v>44802</v>
      </c>
      <c r="K1100" s="5" t="str">
        <f>IFERROR(__xludf.DUMMYFUNCTION("""COMPUTED_VALUE"""),"upper-middle-income")</f>
        <v>upper-middle-income</v>
      </c>
      <c r="L1100" s="5" t="str">
        <f>IFERROR(__xludf.DUMMYFUNCTION("""COMPUTED_VALUE"""),"Panama")</f>
        <v>Panama</v>
      </c>
      <c r="M1100" s="5" t="str">
        <f>IFERROR(__xludf.DUMMYFUNCTION("""COMPUTED_VALUE"""),"Europe &amp; Central Asia")</f>
        <v>Europe &amp; Central Asia</v>
      </c>
      <c r="N1100" s="5" t="str">
        <f>IFERROR(__xludf.DUMMYFUNCTION("""COMPUTED_VALUE"""),"Asia-Pacific")</f>
        <v>Asia-Pacific</v>
      </c>
      <c r="O1100" s="5" t="str">
        <f>IFERROR(__xludf.DUMMYFUNCTION("""COMPUTED_VALUE"""),"developing")</f>
        <v>developing</v>
      </c>
      <c r="P1100" s="5"/>
      <c r="Q1100" s="5"/>
    </row>
    <row r="1101">
      <c r="A1101" s="5" t="str">
        <f>IFERROR(__xludf.DUMMYFUNCTION("""COMPUTED_VALUE"""),"Outbound")</f>
        <v>Outbound</v>
      </c>
      <c r="B1101" s="5">
        <f>IFERROR(__xludf.DUMMYFUNCTION("""COMPUTED_VALUE"""),44.0)</f>
        <v>44</v>
      </c>
      <c r="C1101" s="5" t="str">
        <f>IFERROR(__xludf.DUMMYFUNCTION("""COMPUTED_VALUE"""),"ADNAN TORLAK")</f>
        <v>ADNAN TORLAK</v>
      </c>
      <c r="D1101" s="5">
        <f>IFERROR(__xludf.DUMMYFUNCTION("""COMPUTED_VALUE"""),9243253.0)</f>
        <v>9243253</v>
      </c>
      <c r="E1101" s="5" t="str">
        <f>IFERROR(__xludf.DUMMYFUNCTION("""COMPUTED_VALUE"""),"Chornomorsk")</f>
        <v>Chornomorsk</v>
      </c>
      <c r="F1101" s="5" t="str">
        <f>IFERROR(__xludf.DUMMYFUNCTION("""COMPUTED_VALUE"""),"France")</f>
        <v>France</v>
      </c>
      <c r="G1101" s="5" t="str">
        <f>IFERROR(__xludf.DUMMYFUNCTION("""COMPUTED_VALUE"""),"Rapeseed")</f>
        <v>Rapeseed</v>
      </c>
      <c r="H1101" s="6">
        <f>IFERROR(__xludf.DUMMYFUNCTION("""COMPUTED_VALUE"""),14750.0)</f>
        <v>14750</v>
      </c>
      <c r="I1101" s="7">
        <f>IFERROR(__xludf.DUMMYFUNCTION("""COMPUTED_VALUE"""),44800.0)</f>
        <v>44800</v>
      </c>
      <c r="J1101" s="7">
        <f>IFERROR(__xludf.DUMMYFUNCTION("""COMPUTED_VALUE"""),44802.0)</f>
        <v>44802</v>
      </c>
      <c r="K1101" s="5" t="str">
        <f>IFERROR(__xludf.DUMMYFUNCTION("""COMPUTED_VALUE"""),"high-income")</f>
        <v>high-income</v>
      </c>
      <c r="L1101" s="5" t="str">
        <f>IFERROR(__xludf.DUMMYFUNCTION("""COMPUTED_VALUE"""),"Liberia")</f>
        <v>Liberia</v>
      </c>
      <c r="M1101" s="5" t="str">
        <f>IFERROR(__xludf.DUMMYFUNCTION("""COMPUTED_VALUE"""),"Europe &amp; Central Asia")</f>
        <v>Europe &amp; Central Asia</v>
      </c>
      <c r="N1101" s="5" t="str">
        <f>IFERROR(__xludf.DUMMYFUNCTION("""COMPUTED_VALUE"""),"Western Europe and Others")</f>
        <v>Western Europe and Others</v>
      </c>
      <c r="O1101" s="5" t="str">
        <f>IFERROR(__xludf.DUMMYFUNCTION("""COMPUTED_VALUE"""),"developed")</f>
        <v>developed</v>
      </c>
      <c r="P1101" s="5"/>
      <c r="Q1101" s="5"/>
    </row>
    <row r="1102">
      <c r="A1102" s="5" t="str">
        <f>IFERROR(__xludf.DUMMYFUNCTION("""COMPUTED_VALUE"""),"Outbound")</f>
        <v>Outbound</v>
      </c>
      <c r="B1102" s="5">
        <f>IFERROR(__xludf.DUMMYFUNCTION("""COMPUTED_VALUE"""),43.0)</f>
        <v>43</v>
      </c>
      <c r="C1102" s="5" t="str">
        <f>IFERROR(__xludf.DUMMYFUNCTION("""COMPUTED_VALUE"""),"PRETTY LADY")</f>
        <v>PRETTY LADY</v>
      </c>
      <c r="D1102" s="5">
        <f>IFERROR(__xludf.DUMMYFUNCTION("""COMPUTED_VALUE"""),9223174.0)</f>
        <v>9223174</v>
      </c>
      <c r="E1102" s="5" t="str">
        <f>IFERROR(__xludf.DUMMYFUNCTION("""COMPUTED_VALUE"""),"Chornomorsk")</f>
        <v>Chornomorsk</v>
      </c>
      <c r="F1102" s="5" t="str">
        <f>IFERROR(__xludf.DUMMYFUNCTION("""COMPUTED_VALUE"""),"Egypt")</f>
        <v>Egypt</v>
      </c>
      <c r="G1102" s="5" t="str">
        <f>IFERROR(__xludf.DUMMYFUNCTION("""COMPUTED_VALUE"""),"Corn")</f>
        <v>Corn</v>
      </c>
      <c r="H1102" s="6">
        <f>IFERROR(__xludf.DUMMYFUNCTION("""COMPUTED_VALUE"""),45000.0)</f>
        <v>45000</v>
      </c>
      <c r="I1102" s="7">
        <f>IFERROR(__xludf.DUMMYFUNCTION("""COMPUTED_VALUE"""),44799.0)</f>
        <v>44799</v>
      </c>
      <c r="J1102" s="7">
        <f>IFERROR(__xludf.DUMMYFUNCTION("""COMPUTED_VALUE"""),44802.0)</f>
        <v>44802</v>
      </c>
      <c r="K1102" s="5" t="str">
        <f>IFERROR(__xludf.DUMMYFUNCTION("""COMPUTED_VALUE"""),"lower-middle income")</f>
        <v>lower-middle income</v>
      </c>
      <c r="L1102" s="5" t="str">
        <f>IFERROR(__xludf.DUMMYFUNCTION("""COMPUTED_VALUE"""),"Malta")</f>
        <v>Malta</v>
      </c>
      <c r="M1102" s="5" t="str">
        <f>IFERROR(__xludf.DUMMYFUNCTION("""COMPUTED_VALUE"""),"Middle East &amp; North Africa")</f>
        <v>Middle East &amp; North Africa</v>
      </c>
      <c r="N1102" s="5" t="str">
        <f>IFERROR(__xludf.DUMMYFUNCTION("""COMPUTED_VALUE"""),"Africa")</f>
        <v>Africa</v>
      </c>
      <c r="O1102" s="5" t="str">
        <f>IFERROR(__xludf.DUMMYFUNCTION("""COMPUTED_VALUE"""),"developing")</f>
        <v>developing</v>
      </c>
      <c r="P1102" s="5"/>
      <c r="Q1102" s="5"/>
    </row>
    <row r="1103">
      <c r="A1103" s="5" t="str">
        <f>IFERROR(__xludf.DUMMYFUNCTION("""COMPUTED_VALUE"""),"Outbound")</f>
        <v>Outbound</v>
      </c>
      <c r="B1103" s="5">
        <f>IFERROR(__xludf.DUMMYFUNCTION("""COMPUTED_VALUE"""),42.0)</f>
        <v>42</v>
      </c>
      <c r="C1103" s="5" t="str">
        <f>IFERROR(__xludf.DUMMYFUNCTION("""COMPUTED_VALUE"""),"ZELEK STAR")</f>
        <v>ZELEK STAR</v>
      </c>
      <c r="D1103" s="5">
        <f>IFERROR(__xludf.DUMMYFUNCTION("""COMPUTED_VALUE"""),9379117.0)</f>
        <v>9379117</v>
      </c>
      <c r="E1103" s="5" t="str">
        <f>IFERROR(__xludf.DUMMYFUNCTION("""COMPUTED_VALUE"""),"Chornomorsk")</f>
        <v>Chornomorsk</v>
      </c>
      <c r="F1103" s="5" t="str">
        <f>IFERROR(__xludf.DUMMYFUNCTION("""COMPUTED_VALUE"""),"Türkiye")</f>
        <v>Türkiye</v>
      </c>
      <c r="G1103" s="5" t="str">
        <f>IFERROR(__xludf.DUMMYFUNCTION("""COMPUTED_VALUE"""),"Peas")</f>
        <v>Peas</v>
      </c>
      <c r="H1103" s="6">
        <f>IFERROR(__xludf.DUMMYFUNCTION("""COMPUTED_VALUE"""),3700.0)</f>
        <v>3700</v>
      </c>
      <c r="I1103" s="7">
        <f>IFERROR(__xludf.DUMMYFUNCTION("""COMPUTED_VALUE"""),44799.0)</f>
        <v>44799</v>
      </c>
      <c r="J1103" s="7">
        <f>IFERROR(__xludf.DUMMYFUNCTION("""COMPUTED_VALUE"""),44802.0)</f>
        <v>44802</v>
      </c>
      <c r="K1103" s="5" t="str">
        <f>IFERROR(__xludf.DUMMYFUNCTION("""COMPUTED_VALUE"""),"upper-middle-income")</f>
        <v>upper-middle-income</v>
      </c>
      <c r="L1103" s="5" t="str">
        <f>IFERROR(__xludf.DUMMYFUNCTION("""COMPUTED_VALUE"""),"Panama")</f>
        <v>Panama</v>
      </c>
      <c r="M1103" s="5" t="str">
        <f>IFERROR(__xludf.DUMMYFUNCTION("""COMPUTED_VALUE"""),"Europe &amp; Central Asia")</f>
        <v>Europe &amp; Central Asia</v>
      </c>
      <c r="N1103" s="5" t="str">
        <f>IFERROR(__xludf.DUMMYFUNCTION("""COMPUTED_VALUE"""),"Asia-Pacific")</f>
        <v>Asia-Pacific</v>
      </c>
      <c r="O1103" s="5" t="str">
        <f>IFERROR(__xludf.DUMMYFUNCTION("""COMPUTED_VALUE"""),"developing")</f>
        <v>developing</v>
      </c>
      <c r="P1103" s="5"/>
      <c r="Q1103" s="5"/>
    </row>
    <row r="1104">
      <c r="A1104" s="5" t="str">
        <f>IFERROR(__xludf.DUMMYFUNCTION("""COMPUTED_VALUE"""),"Outbound")</f>
        <v>Outbound</v>
      </c>
      <c r="B1104" s="5">
        <f>IFERROR(__xludf.DUMMYFUNCTION("""COMPUTED_VALUE"""),41.0)</f>
        <v>41</v>
      </c>
      <c r="C1104" s="5" t="str">
        <f>IFERROR(__xludf.DUMMYFUNCTION("""COMPUTED_VALUE"""),"SEAEAGLE")</f>
        <v>SEAEAGLE</v>
      </c>
      <c r="D1104" s="5">
        <f>IFERROR(__xludf.DUMMYFUNCTION("""COMPUTED_VALUE"""),9153056.0)</f>
        <v>9153056</v>
      </c>
      <c r="E1104" s="5" t="str">
        <f>IFERROR(__xludf.DUMMYFUNCTION("""COMPUTED_VALUE"""),"Chornomorsk")</f>
        <v>Chornomorsk</v>
      </c>
      <c r="F1104" s="5" t="str">
        <f>IFERROR(__xludf.DUMMYFUNCTION("""COMPUTED_VALUE"""),"Sudan")</f>
        <v>Sudan</v>
      </c>
      <c r="G1104" s="5" t="str">
        <f>IFERROR(__xludf.DUMMYFUNCTION("""COMPUTED_VALUE"""),"Wheat")</f>
        <v>Wheat</v>
      </c>
      <c r="H1104" s="6">
        <f>IFERROR(__xludf.DUMMYFUNCTION("""COMPUTED_VALUE"""),65340.0)</f>
        <v>65340</v>
      </c>
      <c r="I1104" s="7">
        <f>IFERROR(__xludf.DUMMYFUNCTION("""COMPUTED_VALUE"""),44799.0)</f>
        <v>44799</v>
      </c>
      <c r="J1104" s="7">
        <f>IFERROR(__xludf.DUMMYFUNCTION("""COMPUTED_VALUE"""),44801.0)</f>
        <v>44801</v>
      </c>
      <c r="K1104" s="5" t="str">
        <f>IFERROR(__xludf.DUMMYFUNCTION("""COMPUTED_VALUE"""),"low-income")</f>
        <v>low-income</v>
      </c>
      <c r="L1104" s="5" t="str">
        <f>IFERROR(__xludf.DUMMYFUNCTION("""COMPUTED_VALUE"""),"Malta")</f>
        <v>Malta</v>
      </c>
      <c r="M1104" s="5" t="str">
        <f>IFERROR(__xludf.DUMMYFUNCTION("""COMPUTED_VALUE"""),"Sub-Saharan Africa")</f>
        <v>Sub-Saharan Africa</v>
      </c>
      <c r="N1104" s="5" t="str">
        <f>IFERROR(__xludf.DUMMYFUNCTION("""COMPUTED_VALUE"""),"Africa")</f>
        <v>Africa</v>
      </c>
      <c r="O1104" s="5" t="str">
        <f>IFERROR(__xludf.DUMMYFUNCTION("""COMPUTED_VALUE"""),"developing")</f>
        <v>developing</v>
      </c>
      <c r="P1104" s="5"/>
      <c r="Q1104" s="5"/>
    </row>
    <row r="1105">
      <c r="A1105" s="5" t="str">
        <f>IFERROR(__xludf.DUMMYFUNCTION("""COMPUTED_VALUE"""),"Outbound")</f>
        <v>Outbound</v>
      </c>
      <c r="B1105" s="5">
        <f>IFERROR(__xludf.DUMMYFUNCTION("""COMPUTED_VALUE"""),40.0)</f>
        <v>40</v>
      </c>
      <c r="C1105" s="5" t="str">
        <f>IFERROR(__xludf.DUMMYFUNCTION("""COMPUTED_VALUE"""),"AVIVA")</f>
        <v>AVIVA</v>
      </c>
      <c r="D1105" s="5">
        <f>IFERROR(__xludf.DUMMYFUNCTION("""COMPUTED_VALUE"""),9410131.0)</f>
        <v>9410131</v>
      </c>
      <c r="E1105" s="5" t="str">
        <f>IFERROR(__xludf.DUMMYFUNCTION("""COMPUTED_VALUE"""),"Chornomorsk")</f>
        <v>Chornomorsk</v>
      </c>
      <c r="F1105" s="5" t="str">
        <f>IFERROR(__xludf.DUMMYFUNCTION("""COMPUTED_VALUE"""),"India")</f>
        <v>India</v>
      </c>
      <c r="G1105" s="5" t="str">
        <f>IFERROR(__xludf.DUMMYFUNCTION("""COMPUTED_VALUE"""),"Sunflower oil")</f>
        <v>Sunflower oil</v>
      </c>
      <c r="H1105" s="6">
        <f>IFERROR(__xludf.DUMMYFUNCTION("""COMPUTED_VALUE"""),19100.0)</f>
        <v>19100</v>
      </c>
      <c r="I1105" s="7">
        <f>IFERROR(__xludf.DUMMYFUNCTION("""COMPUTED_VALUE"""),44799.0)</f>
        <v>44799</v>
      </c>
      <c r="J1105" s="7">
        <f>IFERROR(__xludf.DUMMYFUNCTION("""COMPUTED_VALUE"""),44801.0)</f>
        <v>44801</v>
      </c>
      <c r="K1105" s="5" t="str">
        <f>IFERROR(__xludf.DUMMYFUNCTION("""COMPUTED_VALUE"""),"lower-middle income")</f>
        <v>lower-middle income</v>
      </c>
      <c r="L1105" s="5" t="str">
        <f>IFERROR(__xludf.DUMMYFUNCTION("""COMPUTED_VALUE"""),"Marshall Islands")</f>
        <v>Marshall Islands</v>
      </c>
      <c r="M1105" s="5" t="str">
        <f>IFERROR(__xludf.DUMMYFUNCTION("""COMPUTED_VALUE"""),"South Asia")</f>
        <v>South Asia</v>
      </c>
      <c r="N1105" s="5" t="str">
        <f>IFERROR(__xludf.DUMMYFUNCTION("""COMPUTED_VALUE"""),"Asia-Pacific")</f>
        <v>Asia-Pacific</v>
      </c>
      <c r="O1105" s="5" t="str">
        <f>IFERROR(__xludf.DUMMYFUNCTION("""COMPUTED_VALUE"""),"developing")</f>
        <v>developing</v>
      </c>
      <c r="P1105" s="5"/>
      <c r="Q1105" s="5"/>
    </row>
    <row r="1106">
      <c r="A1106" s="5" t="str">
        <f>IFERROR(__xludf.DUMMYFUNCTION("""COMPUTED_VALUE"""),"Outbound")</f>
        <v>Outbound</v>
      </c>
      <c r="B1106" s="5">
        <f>IFERROR(__xludf.DUMMYFUNCTION("""COMPUTED_VALUE"""),39.0)</f>
        <v>39</v>
      </c>
      <c r="C1106" s="5" t="str">
        <f>IFERROR(__xludf.DUMMYFUNCTION("""COMPUTED_VALUE"""),"MOHAMAD Y")</f>
        <v>MOHAMAD Y</v>
      </c>
      <c r="D1106" s="5">
        <f>IFERROR(__xludf.DUMMYFUNCTION("""COMPUTED_VALUE"""),8107000.0)</f>
        <v>8107000</v>
      </c>
      <c r="E1106" s="5" t="str">
        <f>IFERROR(__xludf.DUMMYFUNCTION("""COMPUTED_VALUE"""),"Odesa")</f>
        <v>Odesa</v>
      </c>
      <c r="F1106" s="5" t="str">
        <f>IFERROR(__xludf.DUMMYFUNCTION("""COMPUTED_VALUE"""),"Türkiye")</f>
        <v>Türkiye</v>
      </c>
      <c r="G1106" s="5" t="str">
        <f>IFERROR(__xludf.DUMMYFUNCTION("""COMPUTED_VALUE"""),"Wheat")</f>
        <v>Wheat</v>
      </c>
      <c r="H1106" s="6">
        <f>IFERROR(__xludf.DUMMYFUNCTION("""COMPUTED_VALUE"""),11000.0)</f>
        <v>11000</v>
      </c>
      <c r="I1106" s="7">
        <f>IFERROR(__xludf.DUMMYFUNCTION("""COMPUTED_VALUE"""),44798.0)</f>
        <v>44798</v>
      </c>
      <c r="J1106" s="7">
        <f>IFERROR(__xludf.DUMMYFUNCTION("""COMPUTED_VALUE"""),44800.0)</f>
        <v>44800</v>
      </c>
      <c r="K1106" s="5" t="str">
        <f>IFERROR(__xludf.DUMMYFUNCTION("""COMPUTED_VALUE"""),"upper-middle-income")</f>
        <v>upper-middle-income</v>
      </c>
      <c r="L1106" s="5" t="str">
        <f>IFERROR(__xludf.DUMMYFUNCTION("""COMPUTED_VALUE"""),"St. Kitts and Nevis")</f>
        <v>St. Kitts and Nevis</v>
      </c>
      <c r="M1106" s="5" t="str">
        <f>IFERROR(__xludf.DUMMYFUNCTION("""COMPUTED_VALUE"""),"Europe &amp; Central Asia")</f>
        <v>Europe &amp; Central Asia</v>
      </c>
      <c r="N1106" s="5" t="str">
        <f>IFERROR(__xludf.DUMMYFUNCTION("""COMPUTED_VALUE"""),"Asia-Pacific")</f>
        <v>Asia-Pacific</v>
      </c>
      <c r="O1106" s="5" t="str">
        <f>IFERROR(__xludf.DUMMYFUNCTION("""COMPUTED_VALUE"""),"developing")</f>
        <v>developing</v>
      </c>
      <c r="P1106" s="5"/>
      <c r="Q1106" s="5"/>
    </row>
    <row r="1107">
      <c r="A1107" s="5" t="str">
        <f>IFERROR(__xludf.DUMMYFUNCTION("""COMPUTED_VALUE"""),"Outbound")</f>
        <v>Outbound</v>
      </c>
      <c r="B1107" s="5">
        <f>IFERROR(__xludf.DUMMYFUNCTION("""COMPUTED_VALUE"""),38.0)</f>
        <v>38</v>
      </c>
      <c r="C1107" s="5" t="str">
        <f>IFERROR(__xludf.DUMMYFUNCTION("""COMPUTED_VALUE"""),"ASCANIOS")</f>
        <v>ASCANIOS</v>
      </c>
      <c r="D1107" s="5">
        <f>IFERROR(__xludf.DUMMYFUNCTION("""COMPUTED_VALUE"""),9276169.0)</f>
        <v>9276169</v>
      </c>
      <c r="E1107" s="5" t="str">
        <f>IFERROR(__xludf.DUMMYFUNCTION("""COMPUTED_VALUE"""),"Yuzhny/Pivdennyi")</f>
        <v>Yuzhny/Pivdennyi</v>
      </c>
      <c r="F1107" s="5" t="str">
        <f>IFERROR(__xludf.DUMMYFUNCTION("""COMPUTED_VALUE"""),"Germany")</f>
        <v>Germany</v>
      </c>
      <c r="G1107" s="5" t="str">
        <f>IFERROR(__xludf.DUMMYFUNCTION("""COMPUTED_VALUE"""),"Corn")</f>
        <v>Corn</v>
      </c>
      <c r="H1107" s="6">
        <f>IFERROR(__xludf.DUMMYFUNCTION("""COMPUTED_VALUE"""),58510.0)</f>
        <v>58510</v>
      </c>
      <c r="I1107" s="7">
        <f>IFERROR(__xludf.DUMMYFUNCTION("""COMPUTED_VALUE"""),44798.0)</f>
        <v>44798</v>
      </c>
      <c r="J1107" s="7">
        <f>IFERROR(__xludf.DUMMYFUNCTION("""COMPUTED_VALUE"""),44800.0)</f>
        <v>44800</v>
      </c>
      <c r="K1107" s="5" t="str">
        <f>IFERROR(__xludf.DUMMYFUNCTION("""COMPUTED_VALUE"""),"high-income")</f>
        <v>high-income</v>
      </c>
      <c r="L1107" s="5" t="str">
        <f>IFERROR(__xludf.DUMMYFUNCTION("""COMPUTED_VALUE"""),"Palau")</f>
        <v>Palau</v>
      </c>
      <c r="M1107" s="5" t="str">
        <f>IFERROR(__xludf.DUMMYFUNCTION("""COMPUTED_VALUE"""),"Europe &amp; Central Asia")</f>
        <v>Europe &amp; Central Asia</v>
      </c>
      <c r="N1107" s="5" t="str">
        <f>IFERROR(__xludf.DUMMYFUNCTION("""COMPUTED_VALUE"""),"Western Europe and Others")</f>
        <v>Western Europe and Others</v>
      </c>
      <c r="O1107" s="5" t="str">
        <f>IFERROR(__xludf.DUMMYFUNCTION("""COMPUTED_VALUE"""),"developed")</f>
        <v>developed</v>
      </c>
      <c r="P1107" s="5"/>
      <c r="Q1107" s="5"/>
    </row>
    <row r="1108">
      <c r="A1108" s="5" t="str">
        <f>IFERROR(__xludf.DUMMYFUNCTION("""COMPUTED_VALUE"""),"Outbound")</f>
        <v>Outbound</v>
      </c>
      <c r="B1108" s="5">
        <f>IFERROR(__xludf.DUMMYFUNCTION("""COMPUTED_VALUE"""),37.0)</f>
        <v>37</v>
      </c>
      <c r="C1108" s="5" t="str">
        <f>IFERROR(__xludf.DUMMYFUNCTION("""COMPUTED_VALUE"""),"BELLIS")</f>
        <v>BELLIS</v>
      </c>
      <c r="D1108" s="5">
        <f>IFERROR(__xludf.DUMMYFUNCTION("""COMPUTED_VALUE"""),9381952.0)</f>
        <v>9381952</v>
      </c>
      <c r="E1108" s="5" t="str">
        <f>IFERROR(__xludf.DUMMYFUNCTION("""COMPUTED_VALUE"""),"Odesa")</f>
        <v>Odesa</v>
      </c>
      <c r="F1108" s="5" t="str">
        <f>IFERROR(__xludf.DUMMYFUNCTION("""COMPUTED_VALUE"""),"Israel")</f>
        <v>Israel</v>
      </c>
      <c r="G1108" s="5" t="str">
        <f>IFERROR(__xludf.DUMMYFUNCTION("""COMPUTED_VALUE"""),"Soya beans")</f>
        <v>Soya beans</v>
      </c>
      <c r="H1108" s="6">
        <f>IFERROR(__xludf.DUMMYFUNCTION("""COMPUTED_VALUE"""),6000.0)</f>
        <v>6000</v>
      </c>
      <c r="I1108" s="7">
        <f>IFERROR(__xludf.DUMMYFUNCTION("""COMPUTED_VALUE"""),44798.0)</f>
        <v>44798</v>
      </c>
      <c r="J1108" s="7">
        <f>IFERROR(__xludf.DUMMYFUNCTION("""COMPUTED_VALUE"""),44800.0)</f>
        <v>44800</v>
      </c>
      <c r="K1108" s="5" t="str">
        <f>IFERROR(__xludf.DUMMYFUNCTION("""COMPUTED_VALUE"""),"high-income")</f>
        <v>high-income</v>
      </c>
      <c r="L1108" s="5" t="str">
        <f>IFERROR(__xludf.DUMMYFUNCTION("""COMPUTED_VALUE"""),"Cook Islands")</f>
        <v>Cook Islands</v>
      </c>
      <c r="M1108" s="5" t="str">
        <f>IFERROR(__xludf.DUMMYFUNCTION("""COMPUTED_VALUE"""),"Middle East &amp; North Africa")</f>
        <v>Middle East &amp; North Africa</v>
      </c>
      <c r="N1108" s="5" t="str">
        <f>IFERROR(__xludf.DUMMYFUNCTION("""COMPUTED_VALUE"""),"Western Europe and Others")</f>
        <v>Western Europe and Others</v>
      </c>
      <c r="O1108" s="5" t="str">
        <f>IFERROR(__xludf.DUMMYFUNCTION("""COMPUTED_VALUE"""),"developed")</f>
        <v>developed</v>
      </c>
      <c r="P1108" s="5"/>
      <c r="Q1108" s="5"/>
    </row>
    <row r="1109">
      <c r="A1109" s="5" t="str">
        <f>IFERROR(__xludf.DUMMYFUNCTION("""COMPUTED_VALUE"""),"Outbound")</f>
        <v>Outbound</v>
      </c>
      <c r="B1109" s="5">
        <f>IFERROR(__xludf.DUMMYFUNCTION("""COMPUTED_VALUE"""),36.0)</f>
        <v>36</v>
      </c>
      <c r="C1109" s="5" t="str">
        <f>IFERROR(__xludf.DUMMYFUNCTION("""COMPUTED_VALUE"""),"ZHE HAI 505")</f>
        <v>ZHE HAI 505</v>
      </c>
      <c r="D1109" s="5">
        <f>IFERROR(__xludf.DUMMYFUNCTION("""COMPUTED_VALUE"""),9567477.0)</f>
        <v>9567477</v>
      </c>
      <c r="E1109" s="5" t="str">
        <f>IFERROR(__xludf.DUMMYFUNCTION("""COMPUTED_VALUE"""),"Odesa")</f>
        <v>Odesa</v>
      </c>
      <c r="F1109" s="5" t="str">
        <f>IFERROR(__xludf.DUMMYFUNCTION("""COMPUTED_VALUE"""),"The Netherlands")</f>
        <v>The Netherlands</v>
      </c>
      <c r="G1109" s="5" t="str">
        <f>IFERROR(__xludf.DUMMYFUNCTION("""COMPUTED_VALUE"""),"Rapeseed")</f>
        <v>Rapeseed</v>
      </c>
      <c r="H1109" s="6">
        <f>IFERROR(__xludf.DUMMYFUNCTION("""COMPUTED_VALUE"""),29600.0)</f>
        <v>29600</v>
      </c>
      <c r="I1109" s="7">
        <f>IFERROR(__xludf.DUMMYFUNCTION("""COMPUTED_VALUE"""),44797.0)</f>
        <v>44797</v>
      </c>
      <c r="J1109" s="7">
        <f>IFERROR(__xludf.DUMMYFUNCTION("""COMPUTED_VALUE"""),44799.0)</f>
        <v>44799</v>
      </c>
      <c r="K1109" s="5" t="str">
        <f>IFERROR(__xludf.DUMMYFUNCTION("""COMPUTED_VALUE"""),"high-income")</f>
        <v>high-income</v>
      </c>
      <c r="L1109" s="5" t="str">
        <f>IFERROR(__xludf.DUMMYFUNCTION("""COMPUTED_VALUE"""),"China")</f>
        <v>China</v>
      </c>
      <c r="M1109" s="5" t="str">
        <f>IFERROR(__xludf.DUMMYFUNCTION("""COMPUTED_VALUE"""),"Europe &amp; Central Asia")</f>
        <v>Europe &amp; Central Asia</v>
      </c>
      <c r="N1109" s="5" t="str">
        <f>IFERROR(__xludf.DUMMYFUNCTION("""COMPUTED_VALUE"""),"Western Europe and Others")</f>
        <v>Western Europe and Others</v>
      </c>
      <c r="O1109" s="5" t="str">
        <f>IFERROR(__xludf.DUMMYFUNCTION("""COMPUTED_VALUE"""),"developed")</f>
        <v>developed</v>
      </c>
      <c r="P1109" s="5"/>
      <c r="Q1109" s="5"/>
    </row>
    <row r="1110">
      <c r="A1110" s="5" t="str">
        <f>IFERROR(__xludf.DUMMYFUNCTION("""COMPUTED_VALUE"""),"Outbound")</f>
        <v>Outbound</v>
      </c>
      <c r="B1110" s="5">
        <f>IFERROR(__xludf.DUMMYFUNCTION("""COMPUTED_VALUE"""),35.0)</f>
        <v>35</v>
      </c>
      <c r="C1110" s="5" t="str">
        <f>IFERROR(__xludf.DUMMYFUNCTION("""COMPUTED_VALUE"""),"GANOSAYA")</f>
        <v>GANOSAYA</v>
      </c>
      <c r="D1110" s="5">
        <f>IFERROR(__xludf.DUMMYFUNCTION("""COMPUTED_VALUE"""),9151400.0)</f>
        <v>9151400</v>
      </c>
      <c r="E1110" s="5" t="str">
        <f>IFERROR(__xludf.DUMMYFUNCTION("""COMPUTED_VALUE"""),"Odesa")</f>
        <v>Odesa</v>
      </c>
      <c r="F1110" s="5" t="str">
        <f>IFERROR(__xludf.DUMMYFUNCTION("""COMPUTED_VALUE"""),"Lebanon")</f>
        <v>Lebanon</v>
      </c>
      <c r="G1110" s="5" t="str">
        <f>IFERROR(__xludf.DUMMYFUNCTION("""COMPUTED_VALUE"""),"Corn")</f>
        <v>Corn</v>
      </c>
      <c r="H1110" s="6">
        <f>IFERROR(__xludf.DUMMYFUNCTION("""COMPUTED_VALUE"""),16500.0)</f>
        <v>16500</v>
      </c>
      <c r="I1110" s="7">
        <f>IFERROR(__xludf.DUMMYFUNCTION("""COMPUTED_VALUE"""),44797.0)</f>
        <v>44797</v>
      </c>
      <c r="J1110" s="7">
        <f>IFERROR(__xludf.DUMMYFUNCTION("""COMPUTED_VALUE"""),44799.0)</f>
        <v>44799</v>
      </c>
      <c r="K1110" s="5" t="str">
        <f>IFERROR(__xludf.DUMMYFUNCTION("""COMPUTED_VALUE"""),"lower-middle income")</f>
        <v>lower-middle income</v>
      </c>
      <c r="L1110" s="5" t="str">
        <f>IFERROR(__xludf.DUMMYFUNCTION("""COMPUTED_VALUE"""),"Cook Islands")</f>
        <v>Cook Islands</v>
      </c>
      <c r="M1110" s="5" t="str">
        <f>IFERROR(__xludf.DUMMYFUNCTION("""COMPUTED_VALUE"""),"Middle East &amp; North Africa")</f>
        <v>Middle East &amp; North Africa</v>
      </c>
      <c r="N1110" s="5" t="str">
        <f>IFERROR(__xludf.DUMMYFUNCTION("""COMPUTED_VALUE"""),"Asia-Pacific")</f>
        <v>Asia-Pacific</v>
      </c>
      <c r="O1110" s="5" t="str">
        <f>IFERROR(__xludf.DUMMYFUNCTION("""COMPUTED_VALUE"""),"developing")</f>
        <v>developing</v>
      </c>
      <c r="P1110" s="5"/>
      <c r="Q1110" s="5"/>
    </row>
    <row r="1111">
      <c r="A1111" s="5" t="str">
        <f>IFERROR(__xludf.DUMMYFUNCTION("""COMPUTED_VALUE"""),"Outbound")</f>
        <v>Outbound</v>
      </c>
      <c r="B1111" s="5">
        <f>IFERROR(__xludf.DUMMYFUNCTION("""COMPUTED_VALUE"""),34.0)</f>
        <v>34</v>
      </c>
      <c r="C1111" s="5" t="str">
        <f>IFERROR(__xludf.DUMMYFUNCTION("""COMPUTED_VALUE"""),"KAFKAM ETLER")</f>
        <v>KAFKAM ETLER</v>
      </c>
      <c r="D1111" s="5">
        <f>IFERROR(__xludf.DUMMYFUNCTION("""COMPUTED_VALUE"""),9001112.0)</f>
        <v>9001112</v>
      </c>
      <c r="E1111" s="5" t="str">
        <f>IFERROR(__xludf.DUMMYFUNCTION("""COMPUTED_VALUE"""),"Chornomorsk")</f>
        <v>Chornomorsk</v>
      </c>
      <c r="F1111" s="5" t="str">
        <f>IFERROR(__xludf.DUMMYFUNCTION("""COMPUTED_VALUE"""),"Türkiye")</f>
        <v>Türkiye</v>
      </c>
      <c r="G1111" s="5" t="str">
        <f>IFERROR(__xludf.DUMMYFUNCTION("""COMPUTED_VALUE"""),"Corn")</f>
        <v>Corn</v>
      </c>
      <c r="H1111" s="6">
        <f>IFERROR(__xludf.DUMMYFUNCTION("""COMPUTED_VALUE"""),2436.99)</f>
        <v>2436.99</v>
      </c>
      <c r="I1111" s="7">
        <f>IFERROR(__xludf.DUMMYFUNCTION("""COMPUTED_VALUE"""),44796.0)</f>
        <v>44796</v>
      </c>
      <c r="J1111" s="7">
        <f>IFERROR(__xludf.DUMMYFUNCTION("""COMPUTED_VALUE"""),44798.0)</f>
        <v>44798</v>
      </c>
      <c r="K1111" s="5" t="str">
        <f>IFERROR(__xludf.DUMMYFUNCTION("""COMPUTED_VALUE"""),"upper-middle-income")</f>
        <v>upper-middle-income</v>
      </c>
      <c r="L1111" s="5" t="str">
        <f>IFERROR(__xludf.DUMMYFUNCTION("""COMPUTED_VALUE"""),"Türkiye")</f>
        <v>Türkiye</v>
      </c>
      <c r="M1111" s="5" t="str">
        <f>IFERROR(__xludf.DUMMYFUNCTION("""COMPUTED_VALUE"""),"Europe &amp; Central Asia")</f>
        <v>Europe &amp; Central Asia</v>
      </c>
      <c r="N1111" s="5" t="str">
        <f>IFERROR(__xludf.DUMMYFUNCTION("""COMPUTED_VALUE"""),"Asia-Pacific")</f>
        <v>Asia-Pacific</v>
      </c>
      <c r="O1111" s="5" t="str">
        <f>IFERROR(__xludf.DUMMYFUNCTION("""COMPUTED_VALUE"""),"developing")</f>
        <v>developing</v>
      </c>
      <c r="P1111" s="5"/>
      <c r="Q1111" s="5"/>
    </row>
    <row r="1112">
      <c r="A1112" s="5" t="str">
        <f>IFERROR(__xludf.DUMMYFUNCTION("""COMPUTED_VALUE"""),"Outbound")</f>
        <v>Outbound</v>
      </c>
      <c r="B1112" s="5">
        <f>IFERROR(__xludf.DUMMYFUNCTION("""COMPUTED_VALUE"""),33.0)</f>
        <v>33</v>
      </c>
      <c r="C1112" s="5" t="str">
        <f>IFERROR(__xludf.DUMMYFUNCTION("""COMPUTED_VALUE"""),"GREAT ARSENAL")</f>
        <v>GREAT ARSENAL</v>
      </c>
      <c r="D1112" s="5">
        <f>IFERROR(__xludf.DUMMYFUNCTION("""COMPUTED_VALUE"""),9159062.0)</f>
        <v>9159062</v>
      </c>
      <c r="E1112" s="5" t="str">
        <f>IFERROR(__xludf.DUMMYFUNCTION("""COMPUTED_VALUE"""),"Chornomorsk")</f>
        <v>Chornomorsk</v>
      </c>
      <c r="F1112" s="5" t="str">
        <f>IFERROR(__xludf.DUMMYFUNCTION("""COMPUTED_VALUE"""),"Egypt")</f>
        <v>Egypt</v>
      </c>
      <c r="G1112" s="5" t="str">
        <f>IFERROR(__xludf.DUMMYFUNCTION("""COMPUTED_VALUE"""),"Wheat")</f>
        <v>Wheat</v>
      </c>
      <c r="H1112" s="6">
        <f>IFERROR(__xludf.DUMMYFUNCTION("""COMPUTED_VALUE"""),25500.0)</f>
        <v>25500</v>
      </c>
      <c r="I1112" s="7">
        <f>IFERROR(__xludf.DUMMYFUNCTION("""COMPUTED_VALUE"""),44795.0)</f>
        <v>44795</v>
      </c>
      <c r="J1112" s="7">
        <f>IFERROR(__xludf.DUMMYFUNCTION("""COMPUTED_VALUE"""),44797.0)</f>
        <v>44797</v>
      </c>
      <c r="K1112" s="5" t="str">
        <f>IFERROR(__xludf.DUMMYFUNCTION("""COMPUTED_VALUE"""),"lower-middle income")</f>
        <v>lower-middle income</v>
      </c>
      <c r="L1112" s="5" t="str">
        <f>IFERROR(__xludf.DUMMYFUNCTION("""COMPUTED_VALUE"""),"St. Vincent and the Grenadines")</f>
        <v>St. Vincent and the Grenadines</v>
      </c>
      <c r="M1112" s="5" t="str">
        <f>IFERROR(__xludf.DUMMYFUNCTION("""COMPUTED_VALUE"""),"Middle East &amp; North Africa")</f>
        <v>Middle East &amp; North Africa</v>
      </c>
      <c r="N1112" s="5" t="str">
        <f>IFERROR(__xludf.DUMMYFUNCTION("""COMPUTED_VALUE"""),"Africa")</f>
        <v>Africa</v>
      </c>
      <c r="O1112" s="5" t="str">
        <f>IFERROR(__xludf.DUMMYFUNCTION("""COMPUTED_VALUE"""),"developing")</f>
        <v>developing</v>
      </c>
      <c r="P1112" s="5"/>
      <c r="Q1112" s="5"/>
    </row>
    <row r="1113">
      <c r="A1113" s="5" t="str">
        <f>IFERROR(__xludf.DUMMYFUNCTION("""COMPUTED_VALUE"""),"Outbound")</f>
        <v>Outbound</v>
      </c>
      <c r="B1113" s="5">
        <f>IFERROR(__xludf.DUMMYFUNCTION("""COMPUTED_VALUE"""),32.0)</f>
        <v>32</v>
      </c>
      <c r="C1113" s="5" t="str">
        <f>IFERROR(__xludf.DUMMYFUNCTION("""COMPUTED_VALUE"""),"MARANTA")</f>
        <v>MARANTA</v>
      </c>
      <c r="D1113" s="5">
        <f>IFERROR(__xludf.DUMMYFUNCTION("""COMPUTED_VALUE"""),9206669.0)</f>
        <v>9206669</v>
      </c>
      <c r="E1113" s="5" t="str">
        <f>IFERROR(__xludf.DUMMYFUNCTION("""COMPUTED_VALUE"""),"Chornomorsk")</f>
        <v>Chornomorsk</v>
      </c>
      <c r="F1113" s="5" t="str">
        <f>IFERROR(__xludf.DUMMYFUNCTION("""COMPUTED_VALUE"""),"Greece")</f>
        <v>Greece</v>
      </c>
      <c r="G1113" s="5" t="str">
        <f>IFERROR(__xludf.DUMMYFUNCTION("""COMPUTED_VALUE"""),"Corn")</f>
        <v>Corn</v>
      </c>
      <c r="H1113" s="6">
        <f>IFERROR(__xludf.DUMMYFUNCTION("""COMPUTED_VALUE"""),5300.0)</f>
        <v>5300</v>
      </c>
      <c r="I1113" s="7">
        <f>IFERROR(__xludf.DUMMYFUNCTION("""COMPUTED_VALUE"""),44795.0)</f>
        <v>44795</v>
      </c>
      <c r="J1113" s="7">
        <f>IFERROR(__xludf.DUMMYFUNCTION("""COMPUTED_VALUE"""),44797.0)</f>
        <v>44797</v>
      </c>
      <c r="K1113" s="5" t="str">
        <f>IFERROR(__xludf.DUMMYFUNCTION("""COMPUTED_VALUE"""),"high-income")</f>
        <v>high-income</v>
      </c>
      <c r="L1113" s="5" t="str">
        <f>IFERROR(__xludf.DUMMYFUNCTION("""COMPUTED_VALUE"""),"Cook Islands")</f>
        <v>Cook Islands</v>
      </c>
      <c r="M1113" s="5" t="str">
        <f>IFERROR(__xludf.DUMMYFUNCTION("""COMPUTED_VALUE"""),"Europe &amp; Central Asia")</f>
        <v>Europe &amp; Central Asia</v>
      </c>
      <c r="N1113" s="5" t="str">
        <f>IFERROR(__xludf.DUMMYFUNCTION("""COMPUTED_VALUE"""),"Western Europe and Others")</f>
        <v>Western Europe and Others</v>
      </c>
      <c r="O1113" s="5" t="str">
        <f>IFERROR(__xludf.DUMMYFUNCTION("""COMPUTED_VALUE"""),"developed")</f>
        <v>developed</v>
      </c>
      <c r="P1113" s="5"/>
      <c r="Q1113" s="5"/>
    </row>
    <row r="1114">
      <c r="A1114" s="5" t="str">
        <f>IFERROR(__xludf.DUMMYFUNCTION("""COMPUTED_VALUE"""),"Outbound")</f>
        <v>Outbound</v>
      </c>
      <c r="B1114" s="5">
        <f>IFERROR(__xludf.DUMMYFUNCTION("""COMPUTED_VALUE"""),31.0)</f>
        <v>31</v>
      </c>
      <c r="C1114" s="5" t="str">
        <f>IFERROR(__xludf.DUMMYFUNCTION("""COMPUTED_VALUE"""),"KUBROSLI Y")</f>
        <v>KUBROSLI Y</v>
      </c>
      <c r="D1114" s="5">
        <f>IFERROR(__xludf.DUMMYFUNCTION("""COMPUTED_VALUE"""),8000836.0)</f>
        <v>8000836</v>
      </c>
      <c r="E1114" s="5" t="str">
        <f>IFERROR(__xludf.DUMMYFUNCTION("""COMPUTED_VALUE"""),"Odesa")</f>
        <v>Odesa</v>
      </c>
      <c r="F1114" s="5" t="str">
        <f>IFERROR(__xludf.DUMMYFUNCTION("""COMPUTED_VALUE"""),"Türkiye")</f>
        <v>Türkiye</v>
      </c>
      <c r="G1114" s="5" t="str">
        <f>IFERROR(__xludf.DUMMYFUNCTION("""COMPUTED_VALUE"""),"Wheat")</f>
        <v>Wheat</v>
      </c>
      <c r="H1114" s="6">
        <f>IFERROR(__xludf.DUMMYFUNCTION("""COMPUTED_VALUE"""),11000.0)</f>
        <v>11000</v>
      </c>
      <c r="I1114" s="7">
        <f>IFERROR(__xludf.DUMMYFUNCTION("""COMPUTED_VALUE"""),44794.0)</f>
        <v>44794</v>
      </c>
      <c r="J1114" s="7">
        <f>IFERROR(__xludf.DUMMYFUNCTION("""COMPUTED_VALUE"""),44797.0)</f>
        <v>44797</v>
      </c>
      <c r="K1114" s="5" t="str">
        <f>IFERROR(__xludf.DUMMYFUNCTION("""COMPUTED_VALUE"""),"upper-middle-income")</f>
        <v>upper-middle-income</v>
      </c>
      <c r="L1114" s="5" t="str">
        <f>IFERROR(__xludf.DUMMYFUNCTION("""COMPUTED_VALUE"""),"Comoros")</f>
        <v>Comoros</v>
      </c>
      <c r="M1114" s="5" t="str">
        <f>IFERROR(__xludf.DUMMYFUNCTION("""COMPUTED_VALUE"""),"Europe &amp; Central Asia")</f>
        <v>Europe &amp; Central Asia</v>
      </c>
      <c r="N1114" s="5" t="str">
        <f>IFERROR(__xludf.DUMMYFUNCTION("""COMPUTED_VALUE"""),"Asia-Pacific")</f>
        <v>Asia-Pacific</v>
      </c>
      <c r="O1114" s="5" t="str">
        <f>IFERROR(__xludf.DUMMYFUNCTION("""COMPUTED_VALUE"""),"developing")</f>
        <v>developing</v>
      </c>
      <c r="P1114" s="5"/>
      <c r="Q1114" s="5"/>
    </row>
    <row r="1115">
      <c r="A1115" s="5" t="str">
        <f>IFERROR(__xludf.DUMMYFUNCTION("""COMPUTED_VALUE"""),"Outbound")</f>
        <v>Outbound</v>
      </c>
      <c r="B1115" s="5">
        <f>IFERROR(__xludf.DUMMYFUNCTION("""COMPUTED_VALUE"""),30.0)</f>
        <v>30</v>
      </c>
      <c r="C1115" s="5" t="str">
        <f>IFERROR(__xludf.DUMMYFUNCTION("""COMPUTED_VALUE"""),"FOYLE")</f>
        <v>FOYLE</v>
      </c>
      <c r="D1115" s="5">
        <f>IFERROR(__xludf.DUMMYFUNCTION("""COMPUTED_VALUE"""),9317676.0)</f>
        <v>9317676</v>
      </c>
      <c r="E1115" s="5" t="str">
        <f>IFERROR(__xludf.DUMMYFUNCTION("""COMPUTED_VALUE"""),"Yuzhny/Pivdennyi")</f>
        <v>Yuzhny/Pivdennyi</v>
      </c>
      <c r="F1115" s="5" t="str">
        <f>IFERROR(__xludf.DUMMYFUNCTION("""COMPUTED_VALUE"""),"Türkiye")</f>
        <v>Türkiye</v>
      </c>
      <c r="G1115" s="5" t="str">
        <f>IFERROR(__xludf.DUMMYFUNCTION("""COMPUTED_VALUE"""),"Sunflower oil")</f>
        <v>Sunflower oil</v>
      </c>
      <c r="H1115" s="6">
        <f>IFERROR(__xludf.DUMMYFUNCTION("""COMPUTED_VALUE"""),4300.0)</f>
        <v>4300</v>
      </c>
      <c r="I1115" s="7">
        <f>IFERROR(__xludf.DUMMYFUNCTION("""COMPUTED_VALUE"""),44794.0)</f>
        <v>44794</v>
      </c>
      <c r="J1115" s="7">
        <f>IFERROR(__xludf.DUMMYFUNCTION("""COMPUTED_VALUE"""),44796.0)</f>
        <v>44796</v>
      </c>
      <c r="K1115" s="5" t="str">
        <f>IFERROR(__xludf.DUMMYFUNCTION("""COMPUTED_VALUE"""),"upper-middle-income")</f>
        <v>upper-middle-income</v>
      </c>
      <c r="L1115" s="5" t="str">
        <f>IFERROR(__xludf.DUMMYFUNCTION("""COMPUTED_VALUE"""),"Malta")</f>
        <v>Malta</v>
      </c>
      <c r="M1115" s="5" t="str">
        <f>IFERROR(__xludf.DUMMYFUNCTION("""COMPUTED_VALUE"""),"Europe &amp; Central Asia")</f>
        <v>Europe &amp; Central Asia</v>
      </c>
      <c r="N1115" s="5" t="str">
        <f>IFERROR(__xludf.DUMMYFUNCTION("""COMPUTED_VALUE"""),"Asia-Pacific")</f>
        <v>Asia-Pacific</v>
      </c>
      <c r="O1115" s="5" t="str">
        <f>IFERROR(__xludf.DUMMYFUNCTION("""COMPUTED_VALUE"""),"developing")</f>
        <v>developing</v>
      </c>
      <c r="P1115" s="5"/>
      <c r="Q1115" s="5"/>
    </row>
    <row r="1116">
      <c r="A1116" s="5" t="str">
        <f>IFERROR(__xludf.DUMMYFUNCTION("""COMPUTED_VALUE"""),"Outbound")</f>
        <v>Outbound</v>
      </c>
      <c r="B1116" s="5">
        <f>IFERROR(__xludf.DUMMYFUNCTION("""COMPUTED_VALUE"""),29.0)</f>
        <v>29</v>
      </c>
      <c r="C1116" s="5" t="str">
        <f>IFERROR(__xludf.DUMMYFUNCTION("""COMPUTED_VALUE"""),"DA LIANG")</f>
        <v>DA LIANG</v>
      </c>
      <c r="D1116" s="5">
        <f>IFERROR(__xludf.DUMMYFUNCTION("""COMPUTED_VALUE"""),9608415.0)</f>
        <v>9608415</v>
      </c>
      <c r="E1116" s="5" t="str">
        <f>IFERROR(__xludf.DUMMYFUNCTION("""COMPUTED_VALUE"""),"Chornomorsk")</f>
        <v>Chornomorsk</v>
      </c>
      <c r="F1116" s="5" t="str">
        <f>IFERROR(__xludf.DUMMYFUNCTION("""COMPUTED_VALUE"""),"Republic of Korea")</f>
        <v>Republic of Korea</v>
      </c>
      <c r="G1116" s="5" t="str">
        <f>IFERROR(__xludf.DUMMYFUNCTION("""COMPUTED_VALUE"""),"Sugar beet pellets")</f>
        <v>Sugar beet pellets</v>
      </c>
      <c r="H1116" s="6">
        <f>IFERROR(__xludf.DUMMYFUNCTION("""COMPUTED_VALUE"""),14000.0)</f>
        <v>14000</v>
      </c>
      <c r="I1116" s="7">
        <f>IFERROR(__xludf.DUMMYFUNCTION("""COMPUTED_VALUE"""),44794.0)</f>
        <v>44794</v>
      </c>
      <c r="J1116" s="7">
        <f>IFERROR(__xludf.DUMMYFUNCTION("""COMPUTED_VALUE"""),44796.0)</f>
        <v>44796</v>
      </c>
      <c r="K1116" s="5" t="str">
        <f>IFERROR(__xludf.DUMMYFUNCTION("""COMPUTED_VALUE"""),"high-income")</f>
        <v>high-income</v>
      </c>
      <c r="L1116" s="5" t="str">
        <f>IFERROR(__xludf.DUMMYFUNCTION("""COMPUTED_VALUE"""),"China")</f>
        <v>China</v>
      </c>
      <c r="M1116" s="5" t="str">
        <f>IFERROR(__xludf.DUMMYFUNCTION("""COMPUTED_VALUE"""),"East Asia &amp; Pacific")</f>
        <v>East Asia &amp; Pacific</v>
      </c>
      <c r="N1116" s="5" t="str">
        <f>IFERROR(__xludf.DUMMYFUNCTION("""COMPUTED_VALUE"""),"Asia-Pacific")</f>
        <v>Asia-Pacific</v>
      </c>
      <c r="O1116" s="5" t="str">
        <f>IFERROR(__xludf.DUMMYFUNCTION("""COMPUTED_VALUE"""),"developed")</f>
        <v>developed</v>
      </c>
      <c r="P1116" s="5"/>
      <c r="Q1116" s="5" t="str">
        <f>IFERROR(__xludf.DUMMYFUNCTION("""COMPUTED_VALUE"""),"Stranded")</f>
        <v>Stranded</v>
      </c>
    </row>
    <row r="1117">
      <c r="A1117" s="5" t="str">
        <f>IFERROR(__xludf.DUMMYFUNCTION("""COMPUTED_VALUE"""),"Outbound")</f>
        <v>Outbound</v>
      </c>
      <c r="B1117" s="5">
        <f>IFERROR(__xludf.DUMMYFUNCTION("""COMPUTED_VALUE"""),28.0)</f>
        <v>28</v>
      </c>
      <c r="C1117" s="5" t="str">
        <f>IFERROR(__xludf.DUMMYFUNCTION("""COMPUTED_VALUE"""),"FILYOZ")</f>
        <v>FILYOZ</v>
      </c>
      <c r="D1117" s="5">
        <f>IFERROR(__xludf.DUMMYFUNCTION("""COMPUTED_VALUE"""),9407213.0)</f>
        <v>9407213</v>
      </c>
      <c r="E1117" s="5" t="str">
        <f>IFERROR(__xludf.DUMMYFUNCTION("""COMPUTED_VALUE"""),"Chornomorsk")</f>
        <v>Chornomorsk</v>
      </c>
      <c r="F1117" s="5" t="str">
        <f>IFERROR(__xludf.DUMMYFUNCTION("""COMPUTED_VALUE"""),"Türkiye")</f>
        <v>Türkiye</v>
      </c>
      <c r="G1117" s="5" t="str">
        <f>IFERROR(__xludf.DUMMYFUNCTION("""COMPUTED_VALUE"""),"Sunflower oil")</f>
        <v>Sunflower oil</v>
      </c>
      <c r="H1117" s="6">
        <f>IFERROR(__xludf.DUMMYFUNCTION("""COMPUTED_VALUE"""),5000.0)</f>
        <v>5000</v>
      </c>
      <c r="I1117" s="7">
        <f>IFERROR(__xludf.DUMMYFUNCTION("""COMPUTED_VALUE"""),44794.0)</f>
        <v>44794</v>
      </c>
      <c r="J1117" s="7">
        <f>IFERROR(__xludf.DUMMYFUNCTION("""COMPUTED_VALUE"""),44796.0)</f>
        <v>44796</v>
      </c>
      <c r="K1117" s="5" t="str">
        <f>IFERROR(__xludf.DUMMYFUNCTION("""COMPUTED_VALUE"""),"upper-middle-income")</f>
        <v>upper-middle-income</v>
      </c>
      <c r="L1117" s="5" t="str">
        <f>IFERROR(__xludf.DUMMYFUNCTION("""COMPUTED_VALUE"""),"Malta")</f>
        <v>Malta</v>
      </c>
      <c r="M1117" s="5" t="str">
        <f>IFERROR(__xludf.DUMMYFUNCTION("""COMPUTED_VALUE"""),"Europe &amp; Central Asia")</f>
        <v>Europe &amp; Central Asia</v>
      </c>
      <c r="N1117" s="5" t="str">
        <f>IFERROR(__xludf.DUMMYFUNCTION("""COMPUTED_VALUE"""),"Asia-Pacific")</f>
        <v>Asia-Pacific</v>
      </c>
      <c r="O1117" s="5" t="str">
        <f>IFERROR(__xludf.DUMMYFUNCTION("""COMPUTED_VALUE"""),"developing")</f>
        <v>developing</v>
      </c>
      <c r="P1117" s="5"/>
      <c r="Q1117" s="5"/>
    </row>
    <row r="1118">
      <c r="A1118" s="5" t="str">
        <f>IFERROR(__xludf.DUMMYFUNCTION("""COMPUTED_VALUE"""),"Outbound")</f>
        <v>Outbound</v>
      </c>
      <c r="B1118" s="5">
        <f>IFERROR(__xludf.DUMMYFUNCTION("""COMPUTED_VALUE"""),27.0)</f>
        <v>27</v>
      </c>
      <c r="C1118" s="5" t="str">
        <f>IFERROR(__xludf.DUMMYFUNCTION("""COMPUTED_VALUE"""),"OCEAN S")</f>
        <v>OCEAN S</v>
      </c>
      <c r="D1118" s="5">
        <f>IFERROR(__xludf.DUMMYFUNCTION("""COMPUTED_VALUE"""),9086320.0)</f>
        <v>9086320</v>
      </c>
      <c r="E1118" s="5" t="str">
        <f>IFERROR(__xludf.DUMMYFUNCTION("""COMPUTED_VALUE"""),"Chornomorsk")</f>
        <v>Chornomorsk</v>
      </c>
      <c r="F1118" s="5" t="str">
        <f>IFERROR(__xludf.DUMMYFUNCTION("""COMPUTED_VALUE"""),"Türkiye")</f>
        <v>Türkiye</v>
      </c>
      <c r="G1118" s="5" t="str">
        <f>IFERROR(__xludf.DUMMYFUNCTION("""COMPUTED_VALUE"""),"Wheat")</f>
        <v>Wheat</v>
      </c>
      <c r="H1118" s="6">
        <f>IFERROR(__xludf.DUMMYFUNCTION("""COMPUTED_VALUE"""),25000.0)</f>
        <v>25000</v>
      </c>
      <c r="I1118" s="7">
        <f>IFERROR(__xludf.DUMMYFUNCTION("""COMPUTED_VALUE"""),44793.0)</f>
        <v>44793</v>
      </c>
      <c r="J1118" s="7">
        <f>IFERROR(__xludf.DUMMYFUNCTION("""COMPUTED_VALUE"""),44795.0)</f>
        <v>44795</v>
      </c>
      <c r="K1118" s="5" t="str">
        <f>IFERROR(__xludf.DUMMYFUNCTION("""COMPUTED_VALUE"""),"upper-middle-income")</f>
        <v>upper-middle-income</v>
      </c>
      <c r="L1118" s="5" t="str">
        <f>IFERROR(__xludf.DUMMYFUNCTION("""COMPUTED_VALUE"""),"Liberia")</f>
        <v>Liberia</v>
      </c>
      <c r="M1118" s="5" t="str">
        <f>IFERROR(__xludf.DUMMYFUNCTION("""COMPUTED_VALUE"""),"Europe &amp; Central Asia")</f>
        <v>Europe &amp; Central Asia</v>
      </c>
      <c r="N1118" s="5" t="str">
        <f>IFERROR(__xludf.DUMMYFUNCTION("""COMPUTED_VALUE"""),"Asia-Pacific")</f>
        <v>Asia-Pacific</v>
      </c>
      <c r="O1118" s="5" t="str">
        <f>IFERROR(__xludf.DUMMYFUNCTION("""COMPUTED_VALUE"""),"developing")</f>
        <v>developing</v>
      </c>
      <c r="P1118" s="5"/>
      <c r="Q1118" s="5"/>
    </row>
    <row r="1119">
      <c r="A1119" s="5" t="str">
        <f>IFERROR(__xludf.DUMMYFUNCTION("""COMPUTED_VALUE"""),"Outbound")</f>
        <v>Outbound</v>
      </c>
      <c r="B1119" s="5">
        <f>IFERROR(__xludf.DUMMYFUNCTION("""COMPUTED_VALUE"""),26.0)</f>
        <v>26</v>
      </c>
      <c r="C1119" s="5" t="str">
        <f>IFERROR(__xludf.DUMMYFUNCTION("""COMPUTED_VALUE"""),"ZUMRUT ANA")</f>
        <v>ZUMRUT ANA</v>
      </c>
      <c r="D1119" s="5">
        <f>IFERROR(__xludf.DUMMYFUNCTION("""COMPUTED_VALUE"""),9633549.0)</f>
        <v>9633549</v>
      </c>
      <c r="E1119" s="5" t="str">
        <f>IFERROR(__xludf.DUMMYFUNCTION("""COMPUTED_VALUE"""),"Chornomorsk")</f>
        <v>Chornomorsk</v>
      </c>
      <c r="F1119" s="5" t="str">
        <f>IFERROR(__xludf.DUMMYFUNCTION("""COMPUTED_VALUE"""),"Italy")</f>
        <v>Italy</v>
      </c>
      <c r="G1119" s="5" t="str">
        <f>IFERROR(__xludf.DUMMYFUNCTION("""COMPUTED_VALUE"""),"Sunflower oil")</f>
        <v>Sunflower oil</v>
      </c>
      <c r="H1119" s="6">
        <f>IFERROR(__xludf.DUMMYFUNCTION("""COMPUTED_VALUE"""),6300.0)</f>
        <v>6300</v>
      </c>
      <c r="I1119" s="7">
        <f>IFERROR(__xludf.DUMMYFUNCTION("""COMPUTED_VALUE"""),44793.0)</f>
        <v>44793</v>
      </c>
      <c r="J1119" s="7">
        <f>IFERROR(__xludf.DUMMYFUNCTION("""COMPUTED_VALUE"""),44795.0)</f>
        <v>44795</v>
      </c>
      <c r="K1119" s="5" t="str">
        <f>IFERROR(__xludf.DUMMYFUNCTION("""COMPUTED_VALUE"""),"high-income")</f>
        <v>high-income</v>
      </c>
      <c r="L1119" s="5" t="str">
        <f>IFERROR(__xludf.DUMMYFUNCTION("""COMPUTED_VALUE"""),"Liberia")</f>
        <v>Liberia</v>
      </c>
      <c r="M1119" s="5" t="str">
        <f>IFERROR(__xludf.DUMMYFUNCTION("""COMPUTED_VALUE"""),"Europe &amp; Central Asia")</f>
        <v>Europe &amp; Central Asia</v>
      </c>
      <c r="N1119" s="5" t="str">
        <f>IFERROR(__xludf.DUMMYFUNCTION("""COMPUTED_VALUE"""),"Western Europe and Others")</f>
        <v>Western Europe and Others</v>
      </c>
      <c r="O1119" s="5" t="str">
        <f>IFERROR(__xludf.DUMMYFUNCTION("""COMPUTED_VALUE"""),"developed")</f>
        <v>developed</v>
      </c>
      <c r="P1119" s="5"/>
      <c r="Q1119" s="5"/>
    </row>
    <row r="1120">
      <c r="A1120" s="5" t="str">
        <f>IFERROR(__xludf.DUMMYFUNCTION("""COMPUTED_VALUE"""),"Outbound")</f>
        <v>Outbound</v>
      </c>
      <c r="B1120" s="5">
        <f>IFERROR(__xludf.DUMMYFUNCTION("""COMPUTED_VALUE"""),25.0)</f>
        <v>25</v>
      </c>
      <c r="C1120" s="5" t="str">
        <f>IFERROR(__xludf.DUMMYFUNCTION("""COMPUTED_VALUE"""),"I MARIA")</f>
        <v>I MARIA</v>
      </c>
      <c r="D1120" s="5">
        <f>IFERROR(__xludf.DUMMYFUNCTION("""COMPUTED_VALUE"""),8914697.0)</f>
        <v>8914697</v>
      </c>
      <c r="E1120" s="5" t="str">
        <f>IFERROR(__xludf.DUMMYFUNCTION("""COMPUTED_VALUE"""),"Chornomorsk")</f>
        <v>Chornomorsk</v>
      </c>
      <c r="F1120" s="5" t="str">
        <f>IFERROR(__xludf.DUMMYFUNCTION("""COMPUTED_VALUE"""),"Romania")</f>
        <v>Romania</v>
      </c>
      <c r="G1120" s="5" t="str">
        <f>IFERROR(__xludf.DUMMYFUNCTION("""COMPUTED_VALUE"""),"Corn")</f>
        <v>Corn</v>
      </c>
      <c r="H1120" s="6">
        <f>IFERROR(__xludf.DUMMYFUNCTION("""COMPUTED_VALUE"""),27982.0)</f>
        <v>27982</v>
      </c>
      <c r="I1120" s="7">
        <f>IFERROR(__xludf.DUMMYFUNCTION("""COMPUTED_VALUE"""),44791.0)</f>
        <v>44791</v>
      </c>
      <c r="J1120" s="7">
        <f>IFERROR(__xludf.DUMMYFUNCTION("""COMPUTED_VALUE"""),44795.0)</f>
        <v>44795</v>
      </c>
      <c r="K1120" s="5" t="str">
        <f>IFERROR(__xludf.DUMMYFUNCTION("""COMPUTED_VALUE"""),"high-income")</f>
        <v>high-income</v>
      </c>
      <c r="L1120" s="5" t="str">
        <f>IFERROR(__xludf.DUMMYFUNCTION("""COMPUTED_VALUE"""),"Belize")</f>
        <v>Belize</v>
      </c>
      <c r="M1120" s="5" t="str">
        <f>IFERROR(__xludf.DUMMYFUNCTION("""COMPUTED_VALUE"""),"Europe &amp; Central Asia")</f>
        <v>Europe &amp; Central Asia</v>
      </c>
      <c r="N1120" s="5" t="str">
        <f>IFERROR(__xludf.DUMMYFUNCTION("""COMPUTED_VALUE"""),"Eastern Europe")</f>
        <v>Eastern Europe</v>
      </c>
      <c r="O1120" s="5" t="str">
        <f>IFERROR(__xludf.DUMMYFUNCTION("""COMPUTED_VALUE"""),"developed")</f>
        <v>developed</v>
      </c>
      <c r="P1120" s="5"/>
      <c r="Q1120" s="5" t="str">
        <f>IFERROR(__xludf.DUMMYFUNCTION("""COMPUTED_VALUE"""),"Stranded")</f>
        <v>Stranded</v>
      </c>
    </row>
    <row r="1121">
      <c r="A1121" s="5" t="str">
        <f>IFERROR(__xludf.DUMMYFUNCTION("""COMPUTED_VALUE"""),"Outbound")</f>
        <v>Outbound</v>
      </c>
      <c r="B1121" s="5">
        <f>IFERROR(__xludf.DUMMYFUNCTION("""COMPUTED_VALUE"""),24.0)</f>
        <v>24</v>
      </c>
      <c r="C1121" s="5" t="str">
        <f>IFERROR(__xludf.DUMMYFUNCTION("""COMPUTED_VALUE"""),"PROPUS")</f>
        <v>PROPUS</v>
      </c>
      <c r="D1121" s="5">
        <f>IFERROR(__xludf.DUMMYFUNCTION("""COMPUTED_VALUE"""),9133757.0)</f>
        <v>9133757</v>
      </c>
      <c r="E1121" s="5" t="str">
        <f>IFERROR(__xludf.DUMMYFUNCTION("""COMPUTED_VALUE"""),"Chornomorsk")</f>
        <v>Chornomorsk</v>
      </c>
      <c r="F1121" s="5" t="str">
        <f>IFERROR(__xludf.DUMMYFUNCTION("""COMPUTED_VALUE"""),"Romania")</f>
        <v>Romania</v>
      </c>
      <c r="G1121" s="5" t="str">
        <f>IFERROR(__xludf.DUMMYFUNCTION("""COMPUTED_VALUE"""),"Wheat")</f>
        <v>Wheat</v>
      </c>
      <c r="H1121" s="6">
        <f>IFERROR(__xludf.DUMMYFUNCTION("""COMPUTED_VALUE"""),9111.0)</f>
        <v>9111</v>
      </c>
      <c r="I1121" s="7">
        <f>IFERROR(__xludf.DUMMYFUNCTION("""COMPUTED_VALUE"""),44791.0)</f>
        <v>44791</v>
      </c>
      <c r="J1121" s="7">
        <f>IFERROR(__xludf.DUMMYFUNCTION("""COMPUTED_VALUE"""),44793.0)</f>
        <v>44793</v>
      </c>
      <c r="K1121" s="5" t="str">
        <f>IFERROR(__xludf.DUMMYFUNCTION("""COMPUTED_VALUE"""),"high-income")</f>
        <v>high-income</v>
      </c>
      <c r="L1121" s="5" t="str">
        <f>IFERROR(__xludf.DUMMYFUNCTION("""COMPUTED_VALUE"""),"Panama")</f>
        <v>Panama</v>
      </c>
      <c r="M1121" s="5" t="str">
        <f>IFERROR(__xludf.DUMMYFUNCTION("""COMPUTED_VALUE"""),"Europe &amp; Central Asia")</f>
        <v>Europe &amp; Central Asia</v>
      </c>
      <c r="N1121" s="5" t="str">
        <f>IFERROR(__xludf.DUMMYFUNCTION("""COMPUTED_VALUE"""),"Eastern Europe")</f>
        <v>Eastern Europe</v>
      </c>
      <c r="O1121" s="5" t="str">
        <f>IFERROR(__xludf.DUMMYFUNCTION("""COMPUTED_VALUE"""),"developed")</f>
        <v>developed</v>
      </c>
      <c r="P1121" s="5"/>
      <c r="Q1121" s="5" t="str">
        <f>IFERROR(__xludf.DUMMYFUNCTION("""COMPUTED_VALUE"""),"Stranded")</f>
        <v>Stranded</v>
      </c>
    </row>
    <row r="1122">
      <c r="A1122" s="5" t="str">
        <f>IFERROR(__xludf.DUMMYFUNCTION("""COMPUTED_VALUE"""),"Outbound")</f>
        <v>Outbound</v>
      </c>
      <c r="B1122" s="5">
        <f>IFERROR(__xludf.DUMMYFUNCTION("""COMPUTED_VALUE"""),23.0)</f>
        <v>23</v>
      </c>
      <c r="C1122" s="5" t="str">
        <f>IFERROR(__xludf.DUMMYFUNCTION("""COMPUTED_VALUE"""),"EFE")</f>
        <v>EFE</v>
      </c>
      <c r="D1122" s="5">
        <f>IFERROR(__xludf.DUMMYFUNCTION("""COMPUTED_VALUE"""),9558763.0)</f>
        <v>9558763</v>
      </c>
      <c r="E1122" s="5" t="str">
        <f>IFERROR(__xludf.DUMMYFUNCTION("""COMPUTED_VALUE"""),"Odesa")</f>
        <v>Odesa</v>
      </c>
      <c r="F1122" s="5" t="str">
        <f>IFERROR(__xludf.DUMMYFUNCTION("""COMPUTED_VALUE"""),"Türkiye")</f>
        <v>Türkiye</v>
      </c>
      <c r="G1122" s="5" t="str">
        <f>IFERROR(__xludf.DUMMYFUNCTION("""COMPUTED_VALUE"""),"Sunflower oil")</f>
        <v>Sunflower oil</v>
      </c>
      <c r="H1122" s="6">
        <f>IFERROR(__xludf.DUMMYFUNCTION("""COMPUTED_VALUE"""),7250.0)</f>
        <v>7250</v>
      </c>
      <c r="I1122" s="7">
        <f>IFERROR(__xludf.DUMMYFUNCTION("""COMPUTED_VALUE"""),44790.0)</f>
        <v>44790</v>
      </c>
      <c r="J1122" s="7">
        <f>IFERROR(__xludf.DUMMYFUNCTION("""COMPUTED_VALUE"""),44792.0)</f>
        <v>44792</v>
      </c>
      <c r="K1122" s="5" t="str">
        <f>IFERROR(__xludf.DUMMYFUNCTION("""COMPUTED_VALUE"""),"upper-middle-income")</f>
        <v>upper-middle-income</v>
      </c>
      <c r="L1122" s="5" t="str">
        <f>IFERROR(__xludf.DUMMYFUNCTION("""COMPUTED_VALUE"""),"Vanuatu")</f>
        <v>Vanuatu</v>
      </c>
      <c r="M1122" s="5" t="str">
        <f>IFERROR(__xludf.DUMMYFUNCTION("""COMPUTED_VALUE"""),"Europe &amp; Central Asia")</f>
        <v>Europe &amp; Central Asia</v>
      </c>
      <c r="N1122" s="5" t="str">
        <f>IFERROR(__xludf.DUMMYFUNCTION("""COMPUTED_VALUE"""),"Asia-Pacific")</f>
        <v>Asia-Pacific</v>
      </c>
      <c r="O1122" s="5" t="str">
        <f>IFERROR(__xludf.DUMMYFUNCTION("""COMPUTED_VALUE"""),"developing")</f>
        <v>developing</v>
      </c>
      <c r="P1122" s="5"/>
      <c r="Q1122" s="5"/>
    </row>
    <row r="1123">
      <c r="A1123" s="5" t="str">
        <f>IFERROR(__xludf.DUMMYFUNCTION("""COMPUTED_VALUE"""),"Outbound")</f>
        <v>Outbound</v>
      </c>
      <c r="B1123" s="5">
        <f>IFERROR(__xludf.DUMMYFUNCTION("""COMPUTED_VALUE"""),22.0)</f>
        <v>22</v>
      </c>
      <c r="C1123" s="5" t="str">
        <f>IFERROR(__xludf.DUMMYFUNCTION("""COMPUTED_VALUE"""),"SARA")</f>
        <v>SARA</v>
      </c>
      <c r="D1123" s="5">
        <f>IFERROR(__xludf.DUMMYFUNCTION("""COMPUTED_VALUE"""),9259020.0)</f>
        <v>9259020</v>
      </c>
      <c r="E1123" s="5" t="str">
        <f>IFERROR(__xludf.DUMMYFUNCTION("""COMPUTED_VALUE"""),"Odesa")</f>
        <v>Odesa</v>
      </c>
      <c r="F1123" s="5" t="str">
        <f>IFERROR(__xludf.DUMMYFUNCTION("""COMPUTED_VALUE"""),"Türkiye")</f>
        <v>Türkiye</v>
      </c>
      <c r="G1123" s="5" t="str">
        <f>IFERROR(__xludf.DUMMYFUNCTION("""COMPUTED_VALUE"""),"Corn")</f>
        <v>Corn</v>
      </c>
      <c r="H1123" s="6">
        <f>IFERROR(__xludf.DUMMYFUNCTION("""COMPUTED_VALUE"""),8000.0)</f>
        <v>8000</v>
      </c>
      <c r="I1123" s="7">
        <f>IFERROR(__xludf.DUMMYFUNCTION("""COMPUTED_VALUE"""),44790.0)</f>
        <v>44790</v>
      </c>
      <c r="J1123" s="7">
        <f>IFERROR(__xludf.DUMMYFUNCTION("""COMPUTED_VALUE"""),44792.0)</f>
        <v>44792</v>
      </c>
      <c r="K1123" s="5" t="str">
        <f>IFERROR(__xludf.DUMMYFUNCTION("""COMPUTED_VALUE"""),"upper-middle-income")</f>
        <v>upper-middle-income</v>
      </c>
      <c r="L1123" s="5" t="str">
        <f>IFERROR(__xludf.DUMMYFUNCTION("""COMPUTED_VALUE"""),"Palau")</f>
        <v>Palau</v>
      </c>
      <c r="M1123" s="5" t="str">
        <f>IFERROR(__xludf.DUMMYFUNCTION("""COMPUTED_VALUE"""),"Europe &amp; Central Asia")</f>
        <v>Europe &amp; Central Asia</v>
      </c>
      <c r="N1123" s="5" t="str">
        <f>IFERROR(__xludf.DUMMYFUNCTION("""COMPUTED_VALUE"""),"Asia-Pacific")</f>
        <v>Asia-Pacific</v>
      </c>
      <c r="O1123" s="5" t="str">
        <f>IFERROR(__xludf.DUMMYFUNCTION("""COMPUTED_VALUE"""),"developing")</f>
        <v>developing</v>
      </c>
      <c r="P1123" s="5"/>
      <c r="Q1123" s="5"/>
    </row>
    <row r="1124">
      <c r="A1124" s="5" t="str">
        <f>IFERROR(__xludf.DUMMYFUNCTION("""COMPUTED_VALUE"""),"Outbound")</f>
        <v>Outbound</v>
      </c>
      <c r="B1124" s="5">
        <f>IFERROR(__xludf.DUMMYFUNCTION("""COMPUTED_VALUE"""),21.0)</f>
        <v>21</v>
      </c>
      <c r="C1124" s="5" t="str">
        <f>IFERROR(__xludf.DUMMYFUNCTION("""COMPUTED_VALUE"""),"PETREL S")</f>
        <v>PETREL S</v>
      </c>
      <c r="D1124" s="5">
        <f>IFERROR(__xludf.DUMMYFUNCTION("""COMPUTED_VALUE"""),9363883.0)</f>
        <v>9363883</v>
      </c>
      <c r="E1124" s="5" t="str">
        <f>IFERROR(__xludf.DUMMYFUNCTION("""COMPUTED_VALUE"""),"Chornomorsk")</f>
        <v>Chornomorsk</v>
      </c>
      <c r="F1124" s="5" t="str">
        <f>IFERROR(__xludf.DUMMYFUNCTION("""COMPUTED_VALUE"""),"The Netherlands")</f>
        <v>The Netherlands</v>
      </c>
      <c r="G1124" s="5" t="str">
        <f>IFERROR(__xludf.DUMMYFUNCTION("""COMPUTED_VALUE"""),"Sunflower meal")</f>
        <v>Sunflower meal</v>
      </c>
      <c r="H1124" s="6">
        <f>IFERROR(__xludf.DUMMYFUNCTION("""COMPUTED_VALUE"""),18500.0)</f>
        <v>18500</v>
      </c>
      <c r="I1124" s="7">
        <f>IFERROR(__xludf.DUMMYFUNCTION("""COMPUTED_VALUE"""),44790.0)</f>
        <v>44790</v>
      </c>
      <c r="J1124" s="7">
        <f>IFERROR(__xludf.DUMMYFUNCTION("""COMPUTED_VALUE"""),44792.0)</f>
        <v>44792</v>
      </c>
      <c r="K1124" s="5" t="str">
        <f>IFERROR(__xludf.DUMMYFUNCTION("""COMPUTED_VALUE"""),"high-income")</f>
        <v>high-income</v>
      </c>
      <c r="L1124" s="5" t="str">
        <f>IFERROR(__xludf.DUMMYFUNCTION("""COMPUTED_VALUE"""),"Liberia")</f>
        <v>Liberia</v>
      </c>
      <c r="M1124" s="5" t="str">
        <f>IFERROR(__xludf.DUMMYFUNCTION("""COMPUTED_VALUE"""),"Europe &amp; Central Asia")</f>
        <v>Europe &amp; Central Asia</v>
      </c>
      <c r="N1124" s="5" t="str">
        <f>IFERROR(__xludf.DUMMYFUNCTION("""COMPUTED_VALUE"""),"Western Europe and Others")</f>
        <v>Western Europe and Others</v>
      </c>
      <c r="O1124" s="5" t="str">
        <f>IFERROR(__xludf.DUMMYFUNCTION("""COMPUTED_VALUE"""),"developed")</f>
        <v>developed</v>
      </c>
      <c r="P1124" s="5"/>
      <c r="Q1124" s="5"/>
    </row>
    <row r="1125">
      <c r="A1125" s="5" t="str">
        <f>IFERROR(__xludf.DUMMYFUNCTION("""COMPUTED_VALUE"""),"Outbound")</f>
        <v>Outbound</v>
      </c>
      <c r="B1125" s="5">
        <f>IFERROR(__xludf.DUMMYFUNCTION("""COMPUTED_VALUE"""),20.0)</f>
        <v>20</v>
      </c>
      <c r="C1125" s="5" t="str">
        <f>IFERROR(__xludf.DUMMYFUNCTION("""COMPUTED_VALUE"""),"BRAVE COMMANDER (WFP)")</f>
        <v>BRAVE COMMANDER (WFP)</v>
      </c>
      <c r="D1125" s="5">
        <f>IFERROR(__xludf.DUMMYFUNCTION("""COMPUTED_VALUE"""),9136931.0)</f>
        <v>9136931</v>
      </c>
      <c r="E1125" s="5" t="str">
        <f>IFERROR(__xludf.DUMMYFUNCTION("""COMPUTED_VALUE"""),"Yuzhny/Pivdennyi")</f>
        <v>Yuzhny/Pivdennyi</v>
      </c>
      <c r="F1125" s="5" t="str">
        <f>IFERROR(__xludf.DUMMYFUNCTION("""COMPUTED_VALUE"""),"Ethiopia")</f>
        <v>Ethiopia</v>
      </c>
      <c r="G1125" s="5" t="str">
        <f>IFERROR(__xludf.DUMMYFUNCTION("""COMPUTED_VALUE"""),"Wheat")</f>
        <v>Wheat</v>
      </c>
      <c r="H1125" s="6">
        <f>IFERROR(__xludf.DUMMYFUNCTION("""COMPUTED_VALUE"""),23300.0)</f>
        <v>23300</v>
      </c>
      <c r="I1125" s="7">
        <f>IFERROR(__xludf.DUMMYFUNCTION("""COMPUTED_VALUE"""),44789.0)</f>
        <v>44789</v>
      </c>
      <c r="J1125" s="7">
        <f>IFERROR(__xludf.DUMMYFUNCTION("""COMPUTED_VALUE"""),44794.0)</f>
        <v>44794</v>
      </c>
      <c r="K1125" s="5" t="str">
        <f>IFERROR(__xludf.DUMMYFUNCTION("""COMPUTED_VALUE"""),"low-income")</f>
        <v>low-income</v>
      </c>
      <c r="L1125" s="5" t="str">
        <f>IFERROR(__xludf.DUMMYFUNCTION("""COMPUTED_VALUE"""),"Lebanon")</f>
        <v>Lebanon</v>
      </c>
      <c r="M1125" s="5" t="str">
        <f>IFERROR(__xludf.DUMMYFUNCTION("""COMPUTED_VALUE"""),"Sub-Saharan Africa")</f>
        <v>Sub-Saharan Africa</v>
      </c>
      <c r="N1125" s="5" t="str">
        <f>IFERROR(__xludf.DUMMYFUNCTION("""COMPUTED_VALUE"""),"Africa")</f>
        <v>Africa</v>
      </c>
      <c r="O1125" s="5" t="str">
        <f>IFERROR(__xludf.DUMMYFUNCTION("""COMPUTED_VALUE"""),"developing")</f>
        <v>developing</v>
      </c>
      <c r="P1125" s="5" t="str">
        <f>IFERROR(__xludf.DUMMYFUNCTION("""COMPUTED_VALUE"""),"WFP")</f>
        <v>WFP</v>
      </c>
      <c r="Q1125" s="5"/>
    </row>
    <row r="1126">
      <c r="A1126" s="5" t="str">
        <f>IFERROR(__xludf.DUMMYFUNCTION("""COMPUTED_VALUE"""),"Outbound")</f>
        <v>Outbound</v>
      </c>
      <c r="B1126" s="5">
        <f>IFERROR(__xludf.DUMMYFUNCTION("""COMPUTED_VALUE"""),19.0)</f>
        <v>19</v>
      </c>
      <c r="C1126" s="5" t="str">
        <f>IFERROR(__xludf.DUMMYFUNCTION("""COMPUTED_VALUE"""),"RAMUS")</f>
        <v>RAMUS</v>
      </c>
      <c r="D1126" s="5">
        <f>IFERROR(__xludf.DUMMYFUNCTION("""COMPUTED_VALUE"""),9318400.0)</f>
        <v>9318400</v>
      </c>
      <c r="E1126" s="5" t="str">
        <f>IFERROR(__xludf.DUMMYFUNCTION("""COMPUTED_VALUE"""),"Chornomorsk")</f>
        <v>Chornomorsk</v>
      </c>
      <c r="F1126" s="5" t="str">
        <f>IFERROR(__xludf.DUMMYFUNCTION("""COMPUTED_VALUE"""),"Türkiye")</f>
        <v>Türkiye</v>
      </c>
      <c r="G1126" s="5" t="str">
        <f>IFERROR(__xludf.DUMMYFUNCTION("""COMPUTED_VALUE"""),"Wheat")</f>
        <v>Wheat</v>
      </c>
      <c r="H1126" s="6">
        <f>IFERROR(__xludf.DUMMYFUNCTION("""COMPUTED_VALUE"""),6161.0)</f>
        <v>6161</v>
      </c>
      <c r="I1126" s="7">
        <f>IFERROR(__xludf.DUMMYFUNCTION("""COMPUTED_VALUE"""),44789.0)</f>
        <v>44789</v>
      </c>
      <c r="J1126" s="7">
        <f>IFERROR(__xludf.DUMMYFUNCTION("""COMPUTED_VALUE"""),44792.0)</f>
        <v>44792</v>
      </c>
      <c r="K1126" s="5" t="str">
        <f>IFERROR(__xludf.DUMMYFUNCTION("""COMPUTED_VALUE"""),"upper-middle-income")</f>
        <v>upper-middle-income</v>
      </c>
      <c r="L1126" s="5" t="str">
        <f>IFERROR(__xludf.DUMMYFUNCTION("""COMPUTED_VALUE"""),"Cook Islands")</f>
        <v>Cook Islands</v>
      </c>
      <c r="M1126" s="5" t="str">
        <f>IFERROR(__xludf.DUMMYFUNCTION("""COMPUTED_VALUE"""),"Europe &amp; Central Asia")</f>
        <v>Europe &amp; Central Asia</v>
      </c>
      <c r="N1126" s="5" t="str">
        <f>IFERROR(__xludf.DUMMYFUNCTION("""COMPUTED_VALUE"""),"Asia-Pacific")</f>
        <v>Asia-Pacific</v>
      </c>
      <c r="O1126" s="5" t="str">
        <f>IFERROR(__xludf.DUMMYFUNCTION("""COMPUTED_VALUE"""),"developing")</f>
        <v>developing</v>
      </c>
      <c r="P1126" s="5"/>
      <c r="Q1126" s="5" t="str">
        <f>IFERROR(__xludf.DUMMYFUNCTION("""COMPUTED_VALUE"""),"Stranded")</f>
        <v>Stranded</v>
      </c>
    </row>
    <row r="1127">
      <c r="A1127" s="5" t="str">
        <f>IFERROR(__xludf.DUMMYFUNCTION("""COMPUTED_VALUE"""),"Outbound")</f>
        <v>Outbound</v>
      </c>
      <c r="B1127" s="5">
        <f>IFERROR(__xludf.DUMMYFUNCTION("""COMPUTED_VALUE"""),18.0)</f>
        <v>18</v>
      </c>
      <c r="C1127" s="5" t="str">
        <f>IFERROR(__xludf.DUMMYFUNCTION("""COMPUTED_VALUE"""),"BONITA")</f>
        <v>BONITA</v>
      </c>
      <c r="D1127" s="5">
        <f>IFERROR(__xludf.DUMMYFUNCTION("""COMPUTED_VALUE"""),9231286.0)</f>
        <v>9231286</v>
      </c>
      <c r="E1127" s="5" t="str">
        <f>IFERROR(__xludf.DUMMYFUNCTION("""COMPUTED_VALUE"""),"Yuzhny/Pivdennyi")</f>
        <v>Yuzhny/Pivdennyi</v>
      </c>
      <c r="F1127" s="5" t="str">
        <f>IFERROR(__xludf.DUMMYFUNCTION("""COMPUTED_VALUE"""),"Republic of Korea")</f>
        <v>Republic of Korea</v>
      </c>
      <c r="G1127" s="5" t="str">
        <f>IFERROR(__xludf.DUMMYFUNCTION("""COMPUTED_VALUE"""),"Corn")</f>
        <v>Corn</v>
      </c>
      <c r="H1127" s="6">
        <f>IFERROR(__xludf.DUMMYFUNCTION("""COMPUTED_VALUE"""),60000.0)</f>
        <v>60000</v>
      </c>
      <c r="I1127" s="7">
        <f>IFERROR(__xludf.DUMMYFUNCTION("""COMPUTED_VALUE"""),44789.0)</f>
        <v>44789</v>
      </c>
      <c r="J1127" s="7">
        <f>IFERROR(__xludf.DUMMYFUNCTION("""COMPUTED_VALUE"""),44791.0)</f>
        <v>44791</v>
      </c>
      <c r="K1127" s="5" t="str">
        <f>IFERROR(__xludf.DUMMYFUNCTION("""COMPUTED_VALUE"""),"high-income")</f>
        <v>high-income</v>
      </c>
      <c r="L1127" s="5" t="str">
        <f>IFERROR(__xludf.DUMMYFUNCTION("""COMPUTED_VALUE"""),"Liberia")</f>
        <v>Liberia</v>
      </c>
      <c r="M1127" s="5" t="str">
        <f>IFERROR(__xludf.DUMMYFUNCTION("""COMPUTED_VALUE"""),"East Asia &amp; Pacific")</f>
        <v>East Asia &amp; Pacific</v>
      </c>
      <c r="N1127" s="5" t="str">
        <f>IFERROR(__xludf.DUMMYFUNCTION("""COMPUTED_VALUE"""),"Asia-Pacific")</f>
        <v>Asia-Pacific</v>
      </c>
      <c r="O1127" s="5" t="str">
        <f>IFERROR(__xludf.DUMMYFUNCTION("""COMPUTED_VALUE"""),"developed")</f>
        <v>developed</v>
      </c>
      <c r="P1127" s="5"/>
      <c r="Q1127" s="5" t="str">
        <f>IFERROR(__xludf.DUMMYFUNCTION("""COMPUTED_VALUE"""),"Stranded")</f>
        <v>Stranded</v>
      </c>
    </row>
    <row r="1128">
      <c r="A1128" s="5" t="str">
        <f>IFERROR(__xludf.DUMMYFUNCTION("""COMPUTED_VALUE"""),"Outbound")</f>
        <v>Outbound</v>
      </c>
      <c r="B1128" s="5">
        <f>IFERROR(__xludf.DUMMYFUNCTION("""COMPUTED_VALUE"""),17.0)</f>
        <v>17</v>
      </c>
      <c r="C1128" s="5" t="str">
        <f>IFERROR(__xludf.DUMMYFUNCTION("""COMPUTED_VALUE"""),"OSPREY S")</f>
        <v>OSPREY S</v>
      </c>
      <c r="D1128" s="5">
        <f>IFERROR(__xludf.DUMMYFUNCTION("""COMPUTED_VALUE"""),9300843.0)</f>
        <v>9300843</v>
      </c>
      <c r="E1128" s="5" t="str">
        <f>IFERROR(__xludf.DUMMYFUNCTION("""COMPUTED_VALUE"""),"Chornomorsk")</f>
        <v>Chornomorsk</v>
      </c>
      <c r="F1128" s="5" t="str">
        <f>IFERROR(__xludf.DUMMYFUNCTION("""COMPUTED_VALUE"""),"Türkiye")</f>
        <v>Türkiye</v>
      </c>
      <c r="G1128" s="5" t="str">
        <f>IFERROR(__xludf.DUMMYFUNCTION("""COMPUTED_VALUE"""),"Corn")</f>
        <v>Corn</v>
      </c>
      <c r="H1128" s="6">
        <f>IFERROR(__xludf.DUMMYFUNCTION("""COMPUTED_VALUE"""),11500.0)</f>
        <v>11500</v>
      </c>
      <c r="I1128" s="7">
        <f>IFERROR(__xludf.DUMMYFUNCTION("""COMPUTED_VALUE"""),44789.0)</f>
        <v>44789</v>
      </c>
      <c r="J1128" s="7">
        <f>IFERROR(__xludf.DUMMYFUNCTION("""COMPUTED_VALUE"""),44791.0)</f>
        <v>44791</v>
      </c>
      <c r="K1128" s="5" t="str">
        <f>IFERROR(__xludf.DUMMYFUNCTION("""COMPUTED_VALUE"""),"upper-middle-income")</f>
        <v>upper-middle-income</v>
      </c>
      <c r="L1128" s="5" t="str">
        <f>IFERROR(__xludf.DUMMYFUNCTION("""COMPUTED_VALUE"""),"Liberia")</f>
        <v>Liberia</v>
      </c>
      <c r="M1128" s="5" t="str">
        <f>IFERROR(__xludf.DUMMYFUNCTION("""COMPUTED_VALUE"""),"Europe &amp; Central Asia")</f>
        <v>Europe &amp; Central Asia</v>
      </c>
      <c r="N1128" s="5" t="str">
        <f>IFERROR(__xludf.DUMMYFUNCTION("""COMPUTED_VALUE"""),"Asia-Pacific")</f>
        <v>Asia-Pacific</v>
      </c>
      <c r="O1128" s="5" t="str">
        <f>IFERROR(__xludf.DUMMYFUNCTION("""COMPUTED_VALUE"""),"developing")</f>
        <v>developing</v>
      </c>
      <c r="P1128" s="5"/>
      <c r="Q1128" s="5"/>
    </row>
    <row r="1129">
      <c r="A1129" s="5" t="str">
        <f>IFERROR(__xludf.DUMMYFUNCTION("""COMPUTED_VALUE"""),"Outbound")</f>
        <v>Outbound</v>
      </c>
      <c r="B1129" s="5">
        <f>IFERROR(__xludf.DUMMYFUNCTION("""COMPUTED_VALUE"""),16.0)</f>
        <v>16</v>
      </c>
      <c r="C1129" s="5" t="str">
        <f>IFERROR(__xludf.DUMMYFUNCTION("""COMPUTED_VALUE"""),"THOE")</f>
        <v>THOE</v>
      </c>
      <c r="D1129" s="5">
        <f>IFERROR(__xludf.DUMMYFUNCTION("""COMPUTED_VALUE"""),9400588.0)</f>
        <v>9400588</v>
      </c>
      <c r="E1129" s="5" t="str">
        <f>IFERROR(__xludf.DUMMYFUNCTION("""COMPUTED_VALUE"""),"Chornomorsk")</f>
        <v>Chornomorsk</v>
      </c>
      <c r="F1129" s="5" t="str">
        <f>IFERROR(__xludf.DUMMYFUNCTION("""COMPUTED_VALUE"""),"Türkiye")</f>
        <v>Türkiye</v>
      </c>
      <c r="G1129" s="5" t="str">
        <f>IFERROR(__xludf.DUMMYFUNCTION("""COMPUTED_VALUE"""),"Sunflower seed")</f>
        <v>Sunflower seed</v>
      </c>
      <c r="H1129" s="6">
        <f>IFERROR(__xludf.DUMMYFUNCTION("""COMPUTED_VALUE"""),2914.0)</f>
        <v>2914</v>
      </c>
      <c r="I1129" s="7">
        <f>IFERROR(__xludf.DUMMYFUNCTION("""COMPUTED_VALUE"""),44786.0)</f>
        <v>44786</v>
      </c>
      <c r="J1129" s="7">
        <f>IFERROR(__xludf.DUMMYFUNCTION("""COMPUTED_VALUE"""),44789.0)</f>
        <v>44789</v>
      </c>
      <c r="K1129" s="5" t="str">
        <f>IFERROR(__xludf.DUMMYFUNCTION("""COMPUTED_VALUE"""),"upper-middle-income")</f>
        <v>upper-middle-income</v>
      </c>
      <c r="L1129" s="5" t="str">
        <f>IFERROR(__xludf.DUMMYFUNCTION("""COMPUTED_VALUE"""),"Marshall Islands")</f>
        <v>Marshall Islands</v>
      </c>
      <c r="M1129" s="5" t="str">
        <f>IFERROR(__xludf.DUMMYFUNCTION("""COMPUTED_VALUE"""),"Europe &amp; Central Asia")</f>
        <v>Europe &amp; Central Asia</v>
      </c>
      <c r="N1129" s="5" t="str">
        <f>IFERROR(__xludf.DUMMYFUNCTION("""COMPUTED_VALUE"""),"Asia-Pacific")</f>
        <v>Asia-Pacific</v>
      </c>
      <c r="O1129" s="5" t="str">
        <f>IFERROR(__xludf.DUMMYFUNCTION("""COMPUTED_VALUE"""),"developing")</f>
        <v>developing</v>
      </c>
      <c r="P1129" s="5"/>
      <c r="Q1129" s="5" t="str">
        <f>IFERROR(__xludf.DUMMYFUNCTION("""COMPUTED_VALUE"""),"Stranded")</f>
        <v>Stranded</v>
      </c>
    </row>
    <row r="1130">
      <c r="A1130" s="5" t="str">
        <f>IFERROR(__xludf.DUMMYFUNCTION("""COMPUTED_VALUE"""),"Outbound")</f>
        <v>Outbound</v>
      </c>
      <c r="B1130" s="5">
        <f>IFERROR(__xludf.DUMMYFUNCTION("""COMPUTED_VALUE"""),15.0)</f>
        <v>15</v>
      </c>
      <c r="C1130" s="5" t="str">
        <f>IFERROR(__xludf.DUMMYFUNCTION("""COMPUTED_VALUE"""),"FULMAR S")</f>
        <v>FULMAR S</v>
      </c>
      <c r="D1130" s="5">
        <f>IFERROR(__xludf.DUMMYFUNCTION("""COMPUTED_VALUE"""),9370082.0)</f>
        <v>9370082</v>
      </c>
      <c r="E1130" s="5" t="str">
        <f>IFERROR(__xludf.DUMMYFUNCTION("""COMPUTED_VALUE"""),"Chornomorsk")</f>
        <v>Chornomorsk</v>
      </c>
      <c r="F1130" s="5" t="str">
        <f>IFERROR(__xludf.DUMMYFUNCTION("""COMPUTED_VALUE"""),"Türkiye")</f>
        <v>Türkiye</v>
      </c>
      <c r="G1130" s="5" t="str">
        <f>IFERROR(__xludf.DUMMYFUNCTION("""COMPUTED_VALUE"""),"Corn")</f>
        <v>Corn</v>
      </c>
      <c r="H1130" s="6">
        <f>IFERROR(__xludf.DUMMYFUNCTION("""COMPUTED_VALUE"""),12000.0)</f>
        <v>12000</v>
      </c>
      <c r="I1130" s="7">
        <f>IFERROR(__xludf.DUMMYFUNCTION("""COMPUTED_VALUE"""),44786.0)</f>
        <v>44786</v>
      </c>
      <c r="J1130" s="7">
        <f>IFERROR(__xludf.DUMMYFUNCTION("""COMPUTED_VALUE"""),44788.0)</f>
        <v>44788</v>
      </c>
      <c r="K1130" s="5" t="str">
        <f>IFERROR(__xludf.DUMMYFUNCTION("""COMPUTED_VALUE"""),"upper-middle-income")</f>
        <v>upper-middle-income</v>
      </c>
      <c r="L1130" s="5" t="str">
        <f>IFERROR(__xludf.DUMMYFUNCTION("""COMPUTED_VALUE"""),"Barbados")</f>
        <v>Barbados</v>
      </c>
      <c r="M1130" s="5" t="str">
        <f>IFERROR(__xludf.DUMMYFUNCTION("""COMPUTED_VALUE"""),"Europe &amp; Central Asia")</f>
        <v>Europe &amp; Central Asia</v>
      </c>
      <c r="N1130" s="5" t="str">
        <f>IFERROR(__xludf.DUMMYFUNCTION("""COMPUTED_VALUE"""),"Asia-Pacific")</f>
        <v>Asia-Pacific</v>
      </c>
      <c r="O1130" s="5" t="str">
        <f>IFERROR(__xludf.DUMMYFUNCTION("""COMPUTED_VALUE"""),"developing")</f>
        <v>developing</v>
      </c>
      <c r="P1130" s="5"/>
      <c r="Q1130" s="5"/>
    </row>
    <row r="1131">
      <c r="A1131" s="5" t="str">
        <f>IFERROR(__xludf.DUMMYFUNCTION("""COMPUTED_VALUE"""),"Outbound")</f>
        <v>Outbound</v>
      </c>
      <c r="B1131" s="5">
        <f>IFERROR(__xludf.DUMMYFUNCTION("""COMPUTED_VALUE"""),14.0)</f>
        <v>14</v>
      </c>
      <c r="C1131" s="5" t="str">
        <f>IFERROR(__xludf.DUMMYFUNCTION("""COMPUTED_VALUE"""),"SORMOVSKIY 121")</f>
        <v>SORMOVSKIY 121</v>
      </c>
      <c r="D1131" s="5">
        <f>IFERROR(__xludf.DUMMYFUNCTION("""COMPUTED_VALUE"""),8133578.0)</f>
        <v>8133578</v>
      </c>
      <c r="E1131" s="5" t="str">
        <f>IFERROR(__xludf.DUMMYFUNCTION("""COMPUTED_VALUE"""),"Chornomorsk")</f>
        <v>Chornomorsk</v>
      </c>
      <c r="F1131" s="5" t="str">
        <f>IFERROR(__xludf.DUMMYFUNCTION("""COMPUTED_VALUE"""),"Türkiye")</f>
        <v>Türkiye</v>
      </c>
      <c r="G1131" s="5" t="str">
        <f>IFERROR(__xludf.DUMMYFUNCTION("""COMPUTED_VALUE"""),"Wheat")</f>
        <v>Wheat</v>
      </c>
      <c r="H1131" s="6">
        <f>IFERROR(__xludf.DUMMYFUNCTION("""COMPUTED_VALUE"""),3050.0)</f>
        <v>3050</v>
      </c>
      <c r="I1131" s="7">
        <f>IFERROR(__xludf.DUMMYFUNCTION("""COMPUTED_VALUE"""),44785.0)</f>
        <v>44785</v>
      </c>
      <c r="J1131" s="7">
        <f>IFERROR(__xludf.DUMMYFUNCTION("""COMPUTED_VALUE"""),44788.0)</f>
        <v>44788</v>
      </c>
      <c r="K1131" s="5" t="str">
        <f>IFERROR(__xludf.DUMMYFUNCTION("""COMPUTED_VALUE"""),"upper-middle-income")</f>
        <v>upper-middle-income</v>
      </c>
      <c r="L1131" s="5" t="str">
        <f>IFERROR(__xludf.DUMMYFUNCTION("""COMPUTED_VALUE"""),"Belize")</f>
        <v>Belize</v>
      </c>
      <c r="M1131" s="5" t="str">
        <f>IFERROR(__xludf.DUMMYFUNCTION("""COMPUTED_VALUE"""),"Europe &amp; Central Asia")</f>
        <v>Europe &amp; Central Asia</v>
      </c>
      <c r="N1131" s="5" t="str">
        <f>IFERROR(__xludf.DUMMYFUNCTION("""COMPUTED_VALUE"""),"Asia-Pacific")</f>
        <v>Asia-Pacific</v>
      </c>
      <c r="O1131" s="5" t="str">
        <f>IFERROR(__xludf.DUMMYFUNCTION("""COMPUTED_VALUE"""),"developing")</f>
        <v>developing</v>
      </c>
      <c r="P1131" s="5"/>
      <c r="Q1131" s="5" t="str">
        <f>IFERROR(__xludf.DUMMYFUNCTION("""COMPUTED_VALUE"""),"Stranded")</f>
        <v>Stranded</v>
      </c>
    </row>
    <row r="1132">
      <c r="A1132" s="5" t="str">
        <f>IFERROR(__xludf.DUMMYFUNCTION("""COMPUTED_VALUE"""),"Outbound")</f>
        <v>Outbound</v>
      </c>
      <c r="B1132" s="5">
        <f>IFERROR(__xludf.DUMMYFUNCTION("""COMPUTED_VALUE"""),13.0)</f>
        <v>13</v>
      </c>
      <c r="C1132" s="5" t="str">
        <f>IFERROR(__xludf.DUMMYFUNCTION("""COMPUTED_VALUE"""),"STAR LAURA")</f>
        <v>STAR LAURA</v>
      </c>
      <c r="D1132" s="5">
        <f>IFERROR(__xludf.DUMMYFUNCTION("""COMPUTED_VALUE"""),9328936.0)</f>
        <v>9328936</v>
      </c>
      <c r="E1132" s="5" t="str">
        <f>IFERROR(__xludf.DUMMYFUNCTION("""COMPUTED_VALUE"""),"Yuzhny/Pivdennyi")</f>
        <v>Yuzhny/Pivdennyi</v>
      </c>
      <c r="F1132" s="5" t="str">
        <f>IFERROR(__xludf.DUMMYFUNCTION("""COMPUTED_VALUE"""),"Iran")</f>
        <v>Iran</v>
      </c>
      <c r="G1132" s="5" t="str">
        <f>IFERROR(__xludf.DUMMYFUNCTION("""COMPUTED_VALUE"""),"Corn")</f>
        <v>Corn</v>
      </c>
      <c r="H1132" s="6">
        <f>IFERROR(__xludf.DUMMYFUNCTION("""COMPUTED_VALUE"""),60150.0)</f>
        <v>60150</v>
      </c>
      <c r="I1132" s="7">
        <f>IFERROR(__xludf.DUMMYFUNCTION("""COMPUTED_VALUE"""),44785.0)</f>
        <v>44785</v>
      </c>
      <c r="J1132" s="7">
        <f>IFERROR(__xludf.DUMMYFUNCTION("""COMPUTED_VALUE"""),44787.0)</f>
        <v>44787</v>
      </c>
      <c r="K1132" s="5" t="str">
        <f>IFERROR(__xludf.DUMMYFUNCTION("""COMPUTED_VALUE"""),"lower-middle income")</f>
        <v>lower-middle income</v>
      </c>
      <c r="L1132" s="5" t="str">
        <f>IFERROR(__xludf.DUMMYFUNCTION("""COMPUTED_VALUE"""),"Marshall Islands")</f>
        <v>Marshall Islands</v>
      </c>
      <c r="M1132" s="5" t="str">
        <f>IFERROR(__xludf.DUMMYFUNCTION("""COMPUTED_VALUE"""),"Middle East &amp; North Africa")</f>
        <v>Middle East &amp; North Africa</v>
      </c>
      <c r="N1132" s="5" t="str">
        <f>IFERROR(__xludf.DUMMYFUNCTION("""COMPUTED_VALUE"""),"Asia-Pacific")</f>
        <v>Asia-Pacific</v>
      </c>
      <c r="O1132" s="5" t="str">
        <f>IFERROR(__xludf.DUMMYFUNCTION("""COMPUTED_VALUE"""),"developing")</f>
        <v>developing</v>
      </c>
      <c r="P1132" s="5"/>
      <c r="Q1132" s="5" t="str">
        <f>IFERROR(__xludf.DUMMYFUNCTION("""COMPUTED_VALUE"""),"Stranded")</f>
        <v>Stranded</v>
      </c>
    </row>
    <row r="1133">
      <c r="A1133" s="5" t="str">
        <f>IFERROR(__xludf.DUMMYFUNCTION("""COMPUTED_VALUE"""),"Outbound")</f>
        <v>Outbound</v>
      </c>
      <c r="B1133" s="5">
        <f>IFERROR(__xludf.DUMMYFUNCTION("""COMPUTED_VALUE"""),12.0)</f>
        <v>12</v>
      </c>
      <c r="C1133" s="5" t="str">
        <f>IFERROR(__xludf.DUMMYFUNCTION("""COMPUTED_VALUE"""),"RAHMI YAGCI")</f>
        <v>RAHMI YAGCI</v>
      </c>
      <c r="D1133" s="5">
        <f>IFERROR(__xludf.DUMMYFUNCTION("""COMPUTED_VALUE"""),9550852.0)</f>
        <v>9550852</v>
      </c>
      <c r="E1133" s="5" t="str">
        <f>IFERROR(__xludf.DUMMYFUNCTION("""COMPUTED_VALUE"""),"Chornomorsk")</f>
        <v>Chornomorsk</v>
      </c>
      <c r="F1133" s="5" t="str">
        <f>IFERROR(__xludf.DUMMYFUNCTION("""COMPUTED_VALUE"""),"Türkiye")</f>
        <v>Türkiye</v>
      </c>
      <c r="G1133" s="5" t="str">
        <f>IFERROR(__xludf.DUMMYFUNCTION("""COMPUTED_VALUE"""),"Sunflower meal")</f>
        <v>Sunflower meal</v>
      </c>
      <c r="H1133" s="6">
        <f>IFERROR(__xludf.DUMMYFUNCTION("""COMPUTED_VALUE"""),5300.0)</f>
        <v>5300</v>
      </c>
      <c r="I1133" s="7">
        <f>IFERROR(__xludf.DUMMYFUNCTION("""COMPUTED_VALUE"""),44782.0)</f>
        <v>44782</v>
      </c>
      <c r="J1133" s="7">
        <f>IFERROR(__xludf.DUMMYFUNCTION("""COMPUTED_VALUE"""),44786.0)</f>
        <v>44786</v>
      </c>
      <c r="K1133" s="5" t="str">
        <f>IFERROR(__xludf.DUMMYFUNCTION("""COMPUTED_VALUE"""),"upper-middle-income")</f>
        <v>upper-middle-income</v>
      </c>
      <c r="L1133" s="5" t="str">
        <f>IFERROR(__xludf.DUMMYFUNCTION("""COMPUTED_VALUE"""),"Türkiye")</f>
        <v>Türkiye</v>
      </c>
      <c r="M1133" s="5" t="str">
        <f>IFERROR(__xludf.DUMMYFUNCTION("""COMPUTED_VALUE"""),"Europe &amp; Central Asia")</f>
        <v>Europe &amp; Central Asia</v>
      </c>
      <c r="N1133" s="5" t="str">
        <f>IFERROR(__xludf.DUMMYFUNCTION("""COMPUTED_VALUE"""),"Asia-Pacific")</f>
        <v>Asia-Pacific</v>
      </c>
      <c r="O1133" s="5" t="str">
        <f>IFERROR(__xludf.DUMMYFUNCTION("""COMPUTED_VALUE"""),"developing")</f>
        <v>developing</v>
      </c>
      <c r="P1133" s="5"/>
      <c r="Q1133" s="5" t="str">
        <f>IFERROR(__xludf.DUMMYFUNCTION("""COMPUTED_VALUE"""),"Stranded")</f>
        <v>Stranded</v>
      </c>
    </row>
    <row r="1134">
      <c r="A1134" s="5" t="str">
        <f>IFERROR(__xludf.DUMMYFUNCTION("""COMPUTED_VALUE"""),"Outbound")</f>
        <v>Outbound</v>
      </c>
      <c r="B1134" s="5">
        <f>IFERROR(__xludf.DUMMYFUNCTION("""COMPUTED_VALUE"""),11.0)</f>
        <v>11</v>
      </c>
      <c r="C1134" s="5" t="str">
        <f>IFERROR(__xludf.DUMMYFUNCTION("""COMPUTED_VALUE"""),"OCEAN LION")</f>
        <v>OCEAN LION</v>
      </c>
      <c r="D1134" s="5">
        <f>IFERROR(__xludf.DUMMYFUNCTION("""COMPUTED_VALUE"""),9296248.0)</f>
        <v>9296248</v>
      </c>
      <c r="E1134" s="5" t="str">
        <f>IFERROR(__xludf.DUMMYFUNCTION("""COMPUTED_VALUE"""),"Chornomorsk")</f>
        <v>Chornomorsk</v>
      </c>
      <c r="F1134" s="5" t="str">
        <f>IFERROR(__xludf.DUMMYFUNCTION("""COMPUTED_VALUE"""),"Republic of Korea")</f>
        <v>Republic of Korea</v>
      </c>
      <c r="G1134" s="5" t="str">
        <f>IFERROR(__xludf.DUMMYFUNCTION("""COMPUTED_VALUE"""),"Corn")</f>
        <v>Corn</v>
      </c>
      <c r="H1134" s="6">
        <f>IFERROR(__xludf.DUMMYFUNCTION("""COMPUTED_VALUE"""),64720.0)</f>
        <v>64720</v>
      </c>
      <c r="I1134" s="7">
        <f>IFERROR(__xludf.DUMMYFUNCTION("""COMPUTED_VALUE"""),44782.0)</f>
        <v>44782</v>
      </c>
      <c r="J1134" s="7">
        <f>IFERROR(__xludf.DUMMYFUNCTION("""COMPUTED_VALUE"""),44784.0)</f>
        <v>44784</v>
      </c>
      <c r="K1134" s="5" t="str">
        <f>IFERROR(__xludf.DUMMYFUNCTION("""COMPUTED_VALUE"""),"high-income")</f>
        <v>high-income</v>
      </c>
      <c r="L1134" s="5" t="str">
        <f>IFERROR(__xludf.DUMMYFUNCTION("""COMPUTED_VALUE"""),"Liberia")</f>
        <v>Liberia</v>
      </c>
      <c r="M1134" s="5" t="str">
        <f>IFERROR(__xludf.DUMMYFUNCTION("""COMPUTED_VALUE"""),"East Asia &amp; Pacific")</f>
        <v>East Asia &amp; Pacific</v>
      </c>
      <c r="N1134" s="5" t="str">
        <f>IFERROR(__xludf.DUMMYFUNCTION("""COMPUTED_VALUE"""),"Asia-Pacific")</f>
        <v>Asia-Pacific</v>
      </c>
      <c r="O1134" s="5" t="str">
        <f>IFERROR(__xludf.DUMMYFUNCTION("""COMPUTED_VALUE"""),"developed")</f>
        <v>developed</v>
      </c>
      <c r="P1134" s="5"/>
      <c r="Q1134" s="5" t="str">
        <f>IFERROR(__xludf.DUMMYFUNCTION("""COMPUTED_VALUE"""),"Stranded")</f>
        <v>Stranded</v>
      </c>
    </row>
    <row r="1135">
      <c r="A1135" s="5" t="str">
        <f>IFERROR(__xludf.DUMMYFUNCTION("""COMPUTED_VALUE"""),"Outbound")</f>
        <v>Outbound</v>
      </c>
      <c r="B1135" s="5">
        <f>IFERROR(__xludf.DUMMYFUNCTION("""COMPUTED_VALUE"""),10.0)</f>
        <v>10</v>
      </c>
      <c r="C1135" s="5" t="str">
        <f>IFERROR(__xludf.DUMMYFUNCTION("""COMPUTED_VALUE"""),"SACURA")</f>
        <v>SACURA</v>
      </c>
      <c r="D1135" s="5">
        <f>IFERROR(__xludf.DUMMYFUNCTION("""COMPUTED_VALUE"""),9497000.0)</f>
        <v>9497000</v>
      </c>
      <c r="E1135" s="5" t="str">
        <f>IFERROR(__xludf.DUMMYFUNCTION("""COMPUTED_VALUE"""),"Yuzhny/Pivdennyi")</f>
        <v>Yuzhny/Pivdennyi</v>
      </c>
      <c r="F1135" s="5" t="str">
        <f>IFERROR(__xludf.DUMMYFUNCTION("""COMPUTED_VALUE"""),"Italy")</f>
        <v>Italy</v>
      </c>
      <c r="G1135" s="5" t="str">
        <f>IFERROR(__xludf.DUMMYFUNCTION("""COMPUTED_VALUE"""),"Soya beans")</f>
        <v>Soya beans</v>
      </c>
      <c r="H1135" s="6">
        <f>IFERROR(__xludf.DUMMYFUNCTION("""COMPUTED_VALUE"""),11000.0)</f>
        <v>11000</v>
      </c>
      <c r="I1135" s="7">
        <f>IFERROR(__xludf.DUMMYFUNCTION("""COMPUTED_VALUE"""),44781.0)</f>
        <v>44781</v>
      </c>
      <c r="J1135" s="7">
        <f>IFERROR(__xludf.DUMMYFUNCTION("""COMPUTED_VALUE"""),44783.0)</f>
        <v>44783</v>
      </c>
      <c r="K1135" s="5" t="str">
        <f>IFERROR(__xludf.DUMMYFUNCTION("""COMPUTED_VALUE"""),"high-income")</f>
        <v>high-income</v>
      </c>
      <c r="L1135" s="5" t="str">
        <f>IFERROR(__xludf.DUMMYFUNCTION("""COMPUTED_VALUE"""),"Liberia")</f>
        <v>Liberia</v>
      </c>
      <c r="M1135" s="5" t="str">
        <f>IFERROR(__xludf.DUMMYFUNCTION("""COMPUTED_VALUE"""),"Europe &amp; Central Asia")</f>
        <v>Europe &amp; Central Asia</v>
      </c>
      <c r="N1135" s="5" t="str">
        <f>IFERROR(__xludf.DUMMYFUNCTION("""COMPUTED_VALUE"""),"Western Europe and Others")</f>
        <v>Western Europe and Others</v>
      </c>
      <c r="O1135" s="5" t="str">
        <f>IFERROR(__xludf.DUMMYFUNCTION("""COMPUTED_VALUE"""),"developed")</f>
        <v>developed</v>
      </c>
      <c r="P1135" s="5"/>
      <c r="Q1135" s="5" t="str">
        <f>IFERROR(__xludf.DUMMYFUNCTION("""COMPUTED_VALUE"""),"Stranded")</f>
        <v>Stranded</v>
      </c>
    </row>
    <row r="1136">
      <c r="A1136" s="5" t="str">
        <f>IFERROR(__xludf.DUMMYFUNCTION("""COMPUTED_VALUE"""),"Outbound")</f>
        <v>Outbound</v>
      </c>
      <c r="B1136" s="5">
        <f>IFERROR(__xludf.DUMMYFUNCTION("""COMPUTED_VALUE"""),9.0)</f>
        <v>9</v>
      </c>
      <c r="C1136" s="5" t="str">
        <f>IFERROR(__xludf.DUMMYFUNCTION("""COMPUTED_VALUE"""),"ARIZONA")</f>
        <v>ARIZONA</v>
      </c>
      <c r="D1136" s="5">
        <f>IFERROR(__xludf.DUMMYFUNCTION("""COMPUTED_VALUE"""),9592733.0)</f>
        <v>9592733</v>
      </c>
      <c r="E1136" s="5" t="str">
        <f>IFERROR(__xludf.DUMMYFUNCTION("""COMPUTED_VALUE"""),"Chornomorsk")</f>
        <v>Chornomorsk</v>
      </c>
      <c r="F1136" s="5" t="str">
        <f>IFERROR(__xludf.DUMMYFUNCTION("""COMPUTED_VALUE"""),"Türkiye")</f>
        <v>Türkiye</v>
      </c>
      <c r="G1136" s="5" t="str">
        <f>IFERROR(__xludf.DUMMYFUNCTION("""COMPUTED_VALUE"""),"Corn")</f>
        <v>Corn</v>
      </c>
      <c r="H1136" s="6">
        <f>IFERROR(__xludf.DUMMYFUNCTION("""COMPUTED_VALUE"""),48459.0)</f>
        <v>48459</v>
      </c>
      <c r="I1136" s="7">
        <f>IFERROR(__xludf.DUMMYFUNCTION("""COMPUTED_VALUE"""),44781.0)</f>
        <v>44781</v>
      </c>
      <c r="J1136" s="7">
        <f>IFERROR(__xludf.DUMMYFUNCTION("""COMPUTED_VALUE"""),44783.0)</f>
        <v>44783</v>
      </c>
      <c r="K1136" s="5" t="str">
        <f>IFERROR(__xludf.DUMMYFUNCTION("""COMPUTED_VALUE"""),"upper-middle-income")</f>
        <v>upper-middle-income</v>
      </c>
      <c r="L1136" s="5" t="str">
        <f>IFERROR(__xludf.DUMMYFUNCTION("""COMPUTED_VALUE"""),"Liberia")</f>
        <v>Liberia</v>
      </c>
      <c r="M1136" s="5" t="str">
        <f>IFERROR(__xludf.DUMMYFUNCTION("""COMPUTED_VALUE"""),"Europe &amp; Central Asia")</f>
        <v>Europe &amp; Central Asia</v>
      </c>
      <c r="N1136" s="5" t="str">
        <f>IFERROR(__xludf.DUMMYFUNCTION("""COMPUTED_VALUE"""),"Asia-Pacific")</f>
        <v>Asia-Pacific</v>
      </c>
      <c r="O1136" s="5" t="str">
        <f>IFERROR(__xludf.DUMMYFUNCTION("""COMPUTED_VALUE"""),"developing")</f>
        <v>developing</v>
      </c>
      <c r="P1136" s="5"/>
      <c r="Q1136" s="5" t="str">
        <f>IFERROR(__xludf.DUMMYFUNCTION("""COMPUTED_VALUE"""),"Stranded")</f>
        <v>Stranded</v>
      </c>
    </row>
    <row r="1137">
      <c r="A1137" s="5" t="str">
        <f>IFERROR(__xludf.DUMMYFUNCTION("""COMPUTED_VALUE"""),"Outbound")</f>
        <v>Outbound</v>
      </c>
      <c r="B1137" s="5">
        <f>IFERROR(__xludf.DUMMYFUNCTION("""COMPUTED_VALUE"""),8.0)</f>
        <v>8</v>
      </c>
      <c r="C1137" s="5" t="str">
        <f>IFERROR(__xludf.DUMMYFUNCTION("""COMPUTED_VALUE"""),"MUSTAFA NECATI")</f>
        <v>MUSTAFA NECATI</v>
      </c>
      <c r="D1137" s="5">
        <f>IFERROR(__xludf.DUMMYFUNCTION("""COMPUTED_VALUE"""),9736690.0)</f>
        <v>9736690</v>
      </c>
      <c r="E1137" s="5" t="str">
        <f>IFERROR(__xludf.DUMMYFUNCTION("""COMPUTED_VALUE"""),"Chornomorsk")</f>
        <v>Chornomorsk</v>
      </c>
      <c r="F1137" s="5" t="str">
        <f>IFERROR(__xludf.DUMMYFUNCTION("""COMPUTED_VALUE"""),"Italy")</f>
        <v>Italy</v>
      </c>
      <c r="G1137" s="5" t="str">
        <f>IFERROR(__xludf.DUMMYFUNCTION("""COMPUTED_VALUE"""),"Sunflower oil")</f>
        <v>Sunflower oil</v>
      </c>
      <c r="H1137" s="6">
        <f>IFERROR(__xludf.DUMMYFUNCTION("""COMPUTED_VALUE"""),6000.0)</f>
        <v>6000</v>
      </c>
      <c r="I1137" s="7">
        <f>IFERROR(__xludf.DUMMYFUNCTION("""COMPUTED_VALUE"""),44780.0)</f>
        <v>44780</v>
      </c>
      <c r="J1137" s="7">
        <f>IFERROR(__xludf.DUMMYFUNCTION("""COMPUTED_VALUE"""),44783.0)</f>
        <v>44783</v>
      </c>
      <c r="K1137" s="5" t="str">
        <f>IFERROR(__xludf.DUMMYFUNCTION("""COMPUTED_VALUE"""),"high-income")</f>
        <v>high-income</v>
      </c>
      <c r="L1137" s="5" t="str">
        <f>IFERROR(__xludf.DUMMYFUNCTION("""COMPUTED_VALUE"""),"Liberia")</f>
        <v>Liberia</v>
      </c>
      <c r="M1137" s="5" t="str">
        <f>IFERROR(__xludf.DUMMYFUNCTION("""COMPUTED_VALUE"""),"Europe &amp; Central Asia")</f>
        <v>Europe &amp; Central Asia</v>
      </c>
      <c r="N1137" s="5" t="str">
        <f>IFERROR(__xludf.DUMMYFUNCTION("""COMPUTED_VALUE"""),"Western Europe and Others")</f>
        <v>Western Europe and Others</v>
      </c>
      <c r="O1137" s="5" t="str">
        <f>IFERROR(__xludf.DUMMYFUNCTION("""COMPUTED_VALUE"""),"developed")</f>
        <v>developed</v>
      </c>
      <c r="P1137" s="5"/>
      <c r="Q1137" s="5" t="str">
        <f>IFERROR(__xludf.DUMMYFUNCTION("""COMPUTED_VALUE"""),"Stranded")</f>
        <v>Stranded</v>
      </c>
    </row>
    <row r="1138">
      <c r="A1138" s="5" t="str">
        <f>IFERROR(__xludf.DUMMYFUNCTION("""COMPUTED_VALUE"""),"Outbound")</f>
        <v>Outbound</v>
      </c>
      <c r="B1138" s="5">
        <f>IFERROR(__xludf.DUMMYFUNCTION("""COMPUTED_VALUE"""),7.0)</f>
        <v>7</v>
      </c>
      <c r="C1138" s="5" t="str">
        <f>IFERROR(__xludf.DUMMYFUNCTION("""COMPUTED_VALUE"""),"RIVA WIND")</f>
        <v>RIVA WIND</v>
      </c>
      <c r="D1138" s="5">
        <f>IFERROR(__xludf.DUMMYFUNCTION("""COMPUTED_VALUE"""),9301196.0)</f>
        <v>9301196</v>
      </c>
      <c r="E1138" s="5" t="str">
        <f>IFERROR(__xludf.DUMMYFUNCTION("""COMPUTED_VALUE"""),"Odesa")</f>
        <v>Odesa</v>
      </c>
      <c r="F1138" s="5" t="str">
        <f>IFERROR(__xludf.DUMMYFUNCTION("""COMPUTED_VALUE"""),"Türkiye")</f>
        <v>Türkiye</v>
      </c>
      <c r="G1138" s="5" t="str">
        <f>IFERROR(__xludf.DUMMYFUNCTION("""COMPUTED_VALUE"""),"Corn")</f>
        <v>Corn</v>
      </c>
      <c r="H1138" s="6">
        <f>IFERROR(__xludf.DUMMYFUNCTION("""COMPUTED_VALUE"""),44000.0)</f>
        <v>44000</v>
      </c>
      <c r="I1138" s="7">
        <f>IFERROR(__xludf.DUMMYFUNCTION("""COMPUTED_VALUE"""),44780.0)</f>
        <v>44780</v>
      </c>
      <c r="J1138" s="7">
        <f>IFERROR(__xludf.DUMMYFUNCTION("""COMPUTED_VALUE"""),44782.0)</f>
        <v>44782</v>
      </c>
      <c r="K1138" s="5" t="str">
        <f>IFERROR(__xludf.DUMMYFUNCTION("""COMPUTED_VALUE"""),"upper-middle-income")</f>
        <v>upper-middle-income</v>
      </c>
      <c r="L1138" s="5" t="str">
        <f>IFERROR(__xludf.DUMMYFUNCTION("""COMPUTED_VALUE"""),"Marshall Islands")</f>
        <v>Marshall Islands</v>
      </c>
      <c r="M1138" s="5" t="str">
        <f>IFERROR(__xludf.DUMMYFUNCTION("""COMPUTED_VALUE"""),"Europe &amp; Central Asia")</f>
        <v>Europe &amp; Central Asia</v>
      </c>
      <c r="N1138" s="5" t="str">
        <f>IFERROR(__xludf.DUMMYFUNCTION("""COMPUTED_VALUE"""),"Asia-Pacific")</f>
        <v>Asia-Pacific</v>
      </c>
      <c r="O1138" s="5" t="str">
        <f>IFERROR(__xludf.DUMMYFUNCTION("""COMPUTED_VALUE"""),"developing")</f>
        <v>developing</v>
      </c>
      <c r="P1138" s="5"/>
      <c r="Q1138" s="5" t="str">
        <f>IFERROR(__xludf.DUMMYFUNCTION("""COMPUTED_VALUE"""),"Stranded")</f>
        <v>Stranded</v>
      </c>
    </row>
    <row r="1139">
      <c r="A1139" s="5" t="str">
        <f>IFERROR(__xludf.DUMMYFUNCTION("""COMPUTED_VALUE"""),"Outbound")</f>
        <v>Outbound</v>
      </c>
      <c r="B1139" s="5">
        <f>IFERROR(__xludf.DUMMYFUNCTION("""COMPUTED_VALUE"""),6.0)</f>
        <v>6</v>
      </c>
      <c r="C1139" s="5" t="str">
        <f>IFERROR(__xludf.DUMMYFUNCTION("""COMPUTED_VALUE"""),"STAR HELENA")</f>
        <v>STAR HELENA</v>
      </c>
      <c r="D1139" s="5">
        <f>IFERROR(__xludf.DUMMYFUNCTION("""COMPUTED_VALUE"""),9361213.0)</f>
        <v>9361213</v>
      </c>
      <c r="E1139" s="5" t="str">
        <f>IFERROR(__xludf.DUMMYFUNCTION("""COMPUTED_VALUE"""),"Chornomorsk")</f>
        <v>Chornomorsk</v>
      </c>
      <c r="F1139" s="5" t="str">
        <f>IFERROR(__xludf.DUMMYFUNCTION("""COMPUTED_VALUE"""),"China")</f>
        <v>China</v>
      </c>
      <c r="G1139" s="5" t="str">
        <f>IFERROR(__xludf.DUMMYFUNCTION("""COMPUTED_VALUE"""),"Sunflower meal")</f>
        <v>Sunflower meal</v>
      </c>
      <c r="H1139" s="6">
        <f>IFERROR(__xludf.DUMMYFUNCTION("""COMPUTED_VALUE"""),45000.0)</f>
        <v>45000</v>
      </c>
      <c r="I1139" s="7">
        <f>IFERROR(__xludf.DUMMYFUNCTION("""COMPUTED_VALUE"""),44780.0)</f>
        <v>44780</v>
      </c>
      <c r="J1139" s="7">
        <f>IFERROR(__xludf.DUMMYFUNCTION("""COMPUTED_VALUE"""),44782.0)</f>
        <v>44782</v>
      </c>
      <c r="K1139" s="5" t="str">
        <f>IFERROR(__xludf.DUMMYFUNCTION("""COMPUTED_VALUE"""),"upper-middle-income")</f>
        <v>upper-middle-income</v>
      </c>
      <c r="L1139" s="5" t="str">
        <f>IFERROR(__xludf.DUMMYFUNCTION("""COMPUTED_VALUE"""),"Marshall Islands")</f>
        <v>Marshall Islands</v>
      </c>
      <c r="M1139" s="5" t="str">
        <f>IFERROR(__xludf.DUMMYFUNCTION("""COMPUTED_VALUE"""),"East Asia &amp; Pacific")</f>
        <v>East Asia &amp; Pacific</v>
      </c>
      <c r="N1139" s="5" t="str">
        <f>IFERROR(__xludf.DUMMYFUNCTION("""COMPUTED_VALUE"""),"Asia-Pacific")</f>
        <v>Asia-Pacific</v>
      </c>
      <c r="O1139" s="5" t="str">
        <f>IFERROR(__xludf.DUMMYFUNCTION("""COMPUTED_VALUE"""),"developing")</f>
        <v>developing</v>
      </c>
      <c r="P1139" s="5"/>
      <c r="Q1139" s="5" t="str">
        <f>IFERROR(__xludf.DUMMYFUNCTION("""COMPUTED_VALUE"""),"Stranded")</f>
        <v>Stranded</v>
      </c>
    </row>
    <row r="1140">
      <c r="A1140" s="5" t="str">
        <f>IFERROR(__xludf.DUMMYFUNCTION("""COMPUTED_VALUE"""),"Outbound")</f>
        <v>Outbound</v>
      </c>
      <c r="B1140" s="5">
        <f>IFERROR(__xludf.DUMMYFUNCTION("""COMPUTED_VALUE"""),5.0)</f>
        <v>5</v>
      </c>
      <c r="C1140" s="5" t="str">
        <f>IFERROR(__xludf.DUMMYFUNCTION("""COMPUTED_VALUE"""),"GLORY")</f>
        <v>GLORY</v>
      </c>
      <c r="D1140" s="5">
        <f>IFERROR(__xludf.DUMMYFUNCTION("""COMPUTED_VALUE"""),9288473.0)</f>
        <v>9288473</v>
      </c>
      <c r="E1140" s="5" t="str">
        <f>IFERROR(__xludf.DUMMYFUNCTION("""COMPUTED_VALUE"""),"Chornomorsk")</f>
        <v>Chornomorsk</v>
      </c>
      <c r="F1140" s="5" t="str">
        <f>IFERROR(__xludf.DUMMYFUNCTION("""COMPUTED_VALUE"""),"Iran")</f>
        <v>Iran</v>
      </c>
      <c r="G1140" s="5" t="str">
        <f>IFERROR(__xludf.DUMMYFUNCTION("""COMPUTED_VALUE"""),"Corn")</f>
        <v>Corn</v>
      </c>
      <c r="H1140" s="6">
        <f>IFERROR(__xludf.DUMMYFUNCTION("""COMPUTED_VALUE"""),66084.0)</f>
        <v>66084</v>
      </c>
      <c r="I1140" s="7">
        <f>IFERROR(__xludf.DUMMYFUNCTION("""COMPUTED_VALUE"""),44780.0)</f>
        <v>44780</v>
      </c>
      <c r="J1140" s="7">
        <f>IFERROR(__xludf.DUMMYFUNCTION("""COMPUTED_VALUE"""),44782.0)</f>
        <v>44782</v>
      </c>
      <c r="K1140" s="5" t="str">
        <f>IFERROR(__xludf.DUMMYFUNCTION("""COMPUTED_VALUE"""),"lower-middle income")</f>
        <v>lower-middle income</v>
      </c>
      <c r="L1140" s="5" t="str">
        <f>IFERROR(__xludf.DUMMYFUNCTION("""COMPUTED_VALUE"""),"Marshall Islands")</f>
        <v>Marshall Islands</v>
      </c>
      <c r="M1140" s="5" t="str">
        <f>IFERROR(__xludf.DUMMYFUNCTION("""COMPUTED_VALUE"""),"Middle East &amp; North Africa")</f>
        <v>Middle East &amp; North Africa</v>
      </c>
      <c r="N1140" s="5" t="str">
        <f>IFERROR(__xludf.DUMMYFUNCTION("""COMPUTED_VALUE"""),"Asia-Pacific")</f>
        <v>Asia-Pacific</v>
      </c>
      <c r="O1140" s="5" t="str">
        <f>IFERROR(__xludf.DUMMYFUNCTION("""COMPUTED_VALUE"""),"developing")</f>
        <v>developing</v>
      </c>
      <c r="P1140" s="5"/>
      <c r="Q1140" s="5" t="str">
        <f>IFERROR(__xludf.DUMMYFUNCTION("""COMPUTED_VALUE"""),"Stranded")</f>
        <v>Stranded</v>
      </c>
    </row>
    <row r="1141">
      <c r="A1141" s="5" t="str">
        <f>IFERROR(__xludf.DUMMYFUNCTION("""COMPUTED_VALUE"""),"Outbound")</f>
        <v>Outbound</v>
      </c>
      <c r="B1141" s="5">
        <f>IFERROR(__xludf.DUMMYFUNCTION("""COMPUTED_VALUE"""),4.0)</f>
        <v>4</v>
      </c>
      <c r="C1141" s="5" t="str">
        <f>IFERROR(__xludf.DUMMYFUNCTION("""COMPUTED_VALUE"""),"POLARNET")</f>
        <v>POLARNET</v>
      </c>
      <c r="D1141" s="5">
        <f>IFERROR(__xludf.DUMMYFUNCTION("""COMPUTED_VALUE"""),9758961.0)</f>
        <v>9758961</v>
      </c>
      <c r="E1141" s="5" t="str">
        <f>IFERROR(__xludf.DUMMYFUNCTION("""COMPUTED_VALUE"""),"Chornomorsk")</f>
        <v>Chornomorsk</v>
      </c>
      <c r="F1141" s="5" t="str">
        <f>IFERROR(__xludf.DUMMYFUNCTION("""COMPUTED_VALUE"""),"Türkiye")</f>
        <v>Türkiye</v>
      </c>
      <c r="G1141" s="5" t="str">
        <f>IFERROR(__xludf.DUMMYFUNCTION("""COMPUTED_VALUE"""),"Corn")</f>
        <v>Corn</v>
      </c>
      <c r="H1141" s="6">
        <f>IFERROR(__xludf.DUMMYFUNCTION("""COMPUTED_VALUE"""),12000.0)</f>
        <v>12000</v>
      </c>
      <c r="I1141" s="7">
        <f>IFERROR(__xludf.DUMMYFUNCTION("""COMPUTED_VALUE"""),44778.0)</f>
        <v>44778</v>
      </c>
      <c r="J1141" s="7">
        <f>IFERROR(__xludf.DUMMYFUNCTION("""COMPUTED_VALUE"""),44780.0)</f>
        <v>44780</v>
      </c>
      <c r="K1141" s="5" t="str">
        <f>IFERROR(__xludf.DUMMYFUNCTION("""COMPUTED_VALUE"""),"upper-middle-income")</f>
        <v>upper-middle-income</v>
      </c>
      <c r="L1141" s="5" t="str">
        <f>IFERROR(__xludf.DUMMYFUNCTION("""COMPUTED_VALUE"""),"Türkiye")</f>
        <v>Türkiye</v>
      </c>
      <c r="M1141" s="5" t="str">
        <f>IFERROR(__xludf.DUMMYFUNCTION("""COMPUTED_VALUE"""),"Europe &amp; Central Asia")</f>
        <v>Europe &amp; Central Asia</v>
      </c>
      <c r="N1141" s="5" t="str">
        <f>IFERROR(__xludf.DUMMYFUNCTION("""COMPUTED_VALUE"""),"Asia-Pacific")</f>
        <v>Asia-Pacific</v>
      </c>
      <c r="O1141" s="5" t="str">
        <f>IFERROR(__xludf.DUMMYFUNCTION("""COMPUTED_VALUE"""),"developing")</f>
        <v>developing</v>
      </c>
      <c r="P1141" s="5"/>
      <c r="Q1141" s="5" t="str">
        <f>IFERROR(__xludf.DUMMYFUNCTION("""COMPUTED_VALUE"""),"Stranded")</f>
        <v>Stranded</v>
      </c>
    </row>
    <row r="1142">
      <c r="A1142" s="5" t="str">
        <f>IFERROR(__xludf.DUMMYFUNCTION("""COMPUTED_VALUE"""),"Outbound")</f>
        <v>Outbound</v>
      </c>
      <c r="B1142" s="5">
        <f>IFERROR(__xludf.DUMMYFUNCTION("""COMPUTED_VALUE"""),3.0)</f>
        <v>3</v>
      </c>
      <c r="C1142" s="5" t="str">
        <f>IFERROR(__xludf.DUMMYFUNCTION("""COMPUTED_VALUE"""),"ROJEN")</f>
        <v>ROJEN</v>
      </c>
      <c r="D1142" s="5">
        <f>IFERROR(__xludf.DUMMYFUNCTION("""COMPUTED_VALUE"""),9754927.0)</f>
        <v>9754927</v>
      </c>
      <c r="E1142" s="5" t="str">
        <f>IFERROR(__xludf.DUMMYFUNCTION("""COMPUTED_VALUE"""),"Chornomorsk")</f>
        <v>Chornomorsk</v>
      </c>
      <c r="F1142" s="5" t="str">
        <f>IFERROR(__xludf.DUMMYFUNCTION("""COMPUTED_VALUE"""),"Italy")</f>
        <v>Italy</v>
      </c>
      <c r="G1142" s="5" t="str">
        <f>IFERROR(__xludf.DUMMYFUNCTION("""COMPUTED_VALUE"""),"Corn")</f>
        <v>Corn</v>
      </c>
      <c r="H1142" s="6">
        <f>IFERROR(__xludf.DUMMYFUNCTION("""COMPUTED_VALUE"""),13041.0)</f>
        <v>13041</v>
      </c>
      <c r="I1142" s="7">
        <f>IFERROR(__xludf.DUMMYFUNCTION("""COMPUTED_VALUE"""),44778.0)</f>
        <v>44778</v>
      </c>
      <c r="J1142" s="7">
        <f>IFERROR(__xludf.DUMMYFUNCTION("""COMPUTED_VALUE"""),44780.0)</f>
        <v>44780</v>
      </c>
      <c r="K1142" s="5" t="str">
        <f>IFERROR(__xludf.DUMMYFUNCTION("""COMPUTED_VALUE"""),"high-income")</f>
        <v>high-income</v>
      </c>
      <c r="L1142" s="5" t="str">
        <f>IFERROR(__xludf.DUMMYFUNCTION("""COMPUTED_VALUE"""),"Malta")</f>
        <v>Malta</v>
      </c>
      <c r="M1142" s="5" t="str">
        <f>IFERROR(__xludf.DUMMYFUNCTION("""COMPUTED_VALUE"""),"Europe &amp; Central Asia")</f>
        <v>Europe &amp; Central Asia</v>
      </c>
      <c r="N1142" s="5" t="str">
        <f>IFERROR(__xludf.DUMMYFUNCTION("""COMPUTED_VALUE"""),"Western Europe and Others")</f>
        <v>Western Europe and Others</v>
      </c>
      <c r="O1142" s="5" t="str">
        <f>IFERROR(__xludf.DUMMYFUNCTION("""COMPUTED_VALUE"""),"developed")</f>
        <v>developed</v>
      </c>
      <c r="P1142" s="5"/>
      <c r="Q1142" s="5" t="str">
        <f>IFERROR(__xludf.DUMMYFUNCTION("""COMPUTED_VALUE"""),"Stranded")</f>
        <v>Stranded</v>
      </c>
    </row>
    <row r="1143">
      <c r="A1143" s="5" t="str">
        <f>IFERROR(__xludf.DUMMYFUNCTION("""COMPUTED_VALUE"""),"Outbound")</f>
        <v>Outbound</v>
      </c>
      <c r="B1143" s="5">
        <f>IFERROR(__xludf.DUMMYFUNCTION("""COMPUTED_VALUE"""),2.0)</f>
        <v>2</v>
      </c>
      <c r="C1143" s="5" t="str">
        <f>IFERROR(__xludf.DUMMYFUNCTION("""COMPUTED_VALUE"""),"NAVI STAR")</f>
        <v>NAVI STAR</v>
      </c>
      <c r="D1143" s="5">
        <f>IFERROR(__xludf.DUMMYFUNCTION("""COMPUTED_VALUE"""),9590979.0)</f>
        <v>9590979</v>
      </c>
      <c r="E1143" s="5" t="str">
        <f>IFERROR(__xludf.DUMMYFUNCTION("""COMPUTED_VALUE"""),"Odesa")</f>
        <v>Odesa</v>
      </c>
      <c r="F1143" s="5" t="str">
        <f>IFERROR(__xludf.DUMMYFUNCTION("""COMPUTED_VALUE"""),"Ireland")</f>
        <v>Ireland</v>
      </c>
      <c r="G1143" s="5" t="str">
        <f>IFERROR(__xludf.DUMMYFUNCTION("""COMPUTED_VALUE"""),"Corn")</f>
        <v>Corn</v>
      </c>
      <c r="H1143" s="6">
        <f>IFERROR(__xludf.DUMMYFUNCTION("""COMPUTED_VALUE"""),33000.0)</f>
        <v>33000</v>
      </c>
      <c r="I1143" s="7">
        <f>IFERROR(__xludf.DUMMYFUNCTION("""COMPUTED_VALUE"""),44778.0)</f>
        <v>44778</v>
      </c>
      <c r="J1143" s="7">
        <f>IFERROR(__xludf.DUMMYFUNCTION("""COMPUTED_VALUE"""),44779.0)</f>
        <v>44779</v>
      </c>
      <c r="K1143" s="5" t="str">
        <f>IFERROR(__xludf.DUMMYFUNCTION("""COMPUTED_VALUE"""),"high-income")</f>
        <v>high-income</v>
      </c>
      <c r="L1143" s="5" t="str">
        <f>IFERROR(__xludf.DUMMYFUNCTION("""COMPUTED_VALUE"""),"Panama")</f>
        <v>Panama</v>
      </c>
      <c r="M1143" s="5" t="str">
        <f>IFERROR(__xludf.DUMMYFUNCTION("""COMPUTED_VALUE"""),"Europe &amp; Central Asia")</f>
        <v>Europe &amp; Central Asia</v>
      </c>
      <c r="N1143" s="5" t="str">
        <f>IFERROR(__xludf.DUMMYFUNCTION("""COMPUTED_VALUE"""),"Western Europe and Others")</f>
        <v>Western Europe and Others</v>
      </c>
      <c r="O1143" s="5" t="str">
        <f>IFERROR(__xludf.DUMMYFUNCTION("""COMPUTED_VALUE"""),"developed")</f>
        <v>developed</v>
      </c>
      <c r="P1143" s="5"/>
      <c r="Q1143" s="5" t="str">
        <f>IFERROR(__xludf.DUMMYFUNCTION("""COMPUTED_VALUE"""),"Stranded")</f>
        <v>Stranded</v>
      </c>
    </row>
    <row r="1144">
      <c r="A1144" s="5" t="str">
        <f>IFERROR(__xludf.DUMMYFUNCTION("""COMPUTED_VALUE"""),"Outbound")</f>
        <v>Outbound</v>
      </c>
      <c r="B1144" s="5">
        <f>IFERROR(__xludf.DUMMYFUNCTION("""COMPUTED_VALUE"""),1.0)</f>
        <v>1</v>
      </c>
      <c r="C1144" s="5" t="str">
        <f>IFERROR(__xludf.DUMMYFUNCTION("""COMPUTED_VALUE"""),"RAZONI")</f>
        <v>RAZONI</v>
      </c>
      <c r="D1144" s="5">
        <f>IFERROR(__xludf.DUMMYFUNCTION("""COMPUTED_VALUE"""),9086526.0)</f>
        <v>9086526</v>
      </c>
      <c r="E1144" s="5" t="str">
        <f>IFERROR(__xludf.DUMMYFUNCTION("""COMPUTED_VALUE"""),"Odesa")</f>
        <v>Odesa</v>
      </c>
      <c r="F1144" s="5" t="str">
        <f>IFERROR(__xludf.DUMMYFUNCTION("""COMPUTED_VALUE"""),"Türkiye")</f>
        <v>Türkiye</v>
      </c>
      <c r="G1144" s="5" t="str">
        <f>IFERROR(__xludf.DUMMYFUNCTION("""COMPUTED_VALUE"""),"Corn")</f>
        <v>Corn</v>
      </c>
      <c r="H1144" s="6">
        <f>IFERROR(__xludf.DUMMYFUNCTION("""COMPUTED_VALUE"""),1527.0)</f>
        <v>1527</v>
      </c>
      <c r="I1144" s="7">
        <f>IFERROR(__xludf.DUMMYFUNCTION("""COMPUTED_VALUE"""),44774.0)</f>
        <v>44774</v>
      </c>
      <c r="J1144" s="7">
        <f>IFERROR(__xludf.DUMMYFUNCTION("""COMPUTED_VALUE"""),44776.0)</f>
        <v>44776</v>
      </c>
      <c r="K1144" s="5" t="str">
        <f>IFERROR(__xludf.DUMMYFUNCTION("""COMPUTED_VALUE"""),"upper-middle-income")</f>
        <v>upper-middle-income</v>
      </c>
      <c r="L1144" s="5" t="str">
        <f>IFERROR(__xludf.DUMMYFUNCTION("""COMPUTED_VALUE"""),"Sierra Leone")</f>
        <v>Sierra Leone</v>
      </c>
      <c r="M1144" s="5" t="str">
        <f>IFERROR(__xludf.DUMMYFUNCTION("""COMPUTED_VALUE"""),"Europe &amp; Central Asia")</f>
        <v>Europe &amp; Central Asia</v>
      </c>
      <c r="N1144" s="5" t="str">
        <f>IFERROR(__xludf.DUMMYFUNCTION("""COMPUTED_VALUE"""),"Asia-Pacific")</f>
        <v>Asia-Pacific</v>
      </c>
      <c r="O1144" s="5" t="str">
        <f>IFERROR(__xludf.DUMMYFUNCTION("""COMPUTED_VALUE"""),"developing")</f>
        <v>developing</v>
      </c>
      <c r="P1144" s="5"/>
      <c r="Q1144" s="5" t="str">
        <f>IFERROR(__xludf.DUMMYFUNCTION("""COMPUTED_VALUE"""),"Stranded")</f>
        <v>Stranded</v>
      </c>
    </row>
    <row r="1145">
      <c r="A1145" s="5" t="str">
        <f>IFERROR(__xludf.DUMMYFUNCTION("""COMPUTED_VALUE"""),"Outbound +")</f>
        <v>Outbound +</v>
      </c>
      <c r="B1145" s="5">
        <f>IFERROR(__xludf.DUMMYFUNCTION("""COMPUTED_VALUE"""),1.0)</f>
        <v>1</v>
      </c>
      <c r="C1145" s="5" t="str">
        <f>IFERROR(__xludf.DUMMYFUNCTION("""COMPUTED_VALUE"""),"RAZONI")</f>
        <v>RAZONI</v>
      </c>
      <c r="D1145" s="5">
        <f>IFERROR(__xludf.DUMMYFUNCTION("""COMPUTED_VALUE"""),9086526.0)</f>
        <v>9086526</v>
      </c>
      <c r="E1145" s="5" t="str">
        <f>IFERROR(__xludf.DUMMYFUNCTION("""COMPUTED_VALUE"""),"Odesa")</f>
        <v>Odesa</v>
      </c>
      <c r="F1145" s="5" t="str">
        <f>IFERROR(__xludf.DUMMYFUNCTION("""COMPUTED_VALUE"""),"Egypt")</f>
        <v>Egypt</v>
      </c>
      <c r="G1145" s="5" t="str">
        <f>IFERROR(__xludf.DUMMYFUNCTION("""COMPUTED_VALUE"""),"Corn")</f>
        <v>Corn</v>
      </c>
      <c r="H1145" s="6">
        <f>IFERROR(__xludf.DUMMYFUNCTION("""COMPUTED_VALUE"""),25000.0)</f>
        <v>25000</v>
      </c>
      <c r="I1145" s="7">
        <f>IFERROR(__xludf.DUMMYFUNCTION("""COMPUTED_VALUE"""),44774.0)</f>
        <v>44774</v>
      </c>
      <c r="J1145" s="7">
        <f>IFERROR(__xludf.DUMMYFUNCTION("""COMPUTED_VALUE"""),44776.0)</f>
        <v>44776</v>
      </c>
      <c r="K1145" s="5" t="str">
        <f>IFERROR(__xludf.DUMMYFUNCTION("""COMPUTED_VALUE"""),"lower-middle income")</f>
        <v>lower-middle income</v>
      </c>
      <c r="L1145" s="5" t="str">
        <f>IFERROR(__xludf.DUMMYFUNCTION("""COMPUTED_VALUE"""),"Sierra Leone")</f>
        <v>Sierra Leone</v>
      </c>
      <c r="M1145" s="5" t="str">
        <f>IFERROR(__xludf.DUMMYFUNCTION("""COMPUTED_VALUE"""),"Middle East &amp; North Africa")</f>
        <v>Middle East &amp; North Africa</v>
      </c>
      <c r="N1145" s="5" t="str">
        <f>IFERROR(__xludf.DUMMYFUNCTION("""COMPUTED_VALUE"""),"Africa")</f>
        <v>Africa</v>
      </c>
      <c r="O1145" s="5" t="str">
        <f>IFERROR(__xludf.DUMMYFUNCTION("""COMPUTED_VALUE"""),"developing")</f>
        <v>developing</v>
      </c>
      <c r="P1145" s="5"/>
      <c r="Q1145" s="5" t="str">
        <f>IFERROR(__xludf.DUMMYFUNCTION("""COMPUTED_VALUE"""),"Stranded")</f>
        <v>Stranded</v>
      </c>
    </row>
    <row r="1146">
      <c r="J1146" s="8"/>
    </row>
    <row r="1147">
      <c r="J1147" s="8"/>
    </row>
    <row r="1148">
      <c r="J1148" s="8"/>
    </row>
    <row r="1149">
      <c r="J1149" s="8"/>
    </row>
    <row r="1150">
      <c r="J1150" s="8"/>
    </row>
    <row r="1151">
      <c r="J1151" s="8"/>
    </row>
    <row r="1152">
      <c r="J1152" s="8"/>
    </row>
    <row r="1153">
      <c r="J1153" s="8"/>
    </row>
    <row r="1154">
      <c r="J1154" s="8"/>
    </row>
    <row r="1155">
      <c r="J1155" s="8"/>
    </row>
    <row r="1156">
      <c r="J1156" s="8"/>
    </row>
    <row r="1157">
      <c r="J1157" s="8"/>
    </row>
    <row r="1158">
      <c r="J1158" s="8"/>
    </row>
    <row r="1159">
      <c r="J1159" s="8"/>
    </row>
    <row r="1160">
      <c r="J1160" s="8"/>
    </row>
    <row r="1161">
      <c r="J1161" s="8"/>
    </row>
    <row r="1162">
      <c r="J1162" s="8"/>
    </row>
    <row r="1163">
      <c r="J1163" s="8"/>
    </row>
    <row r="1164">
      <c r="J1164" s="8"/>
    </row>
    <row r="1165">
      <c r="J1165" s="8"/>
    </row>
    <row r="1166">
      <c r="J1166" s="8"/>
    </row>
    <row r="1167">
      <c r="J1167" s="8"/>
    </row>
    <row r="1168">
      <c r="J1168" s="8"/>
    </row>
    <row r="1169">
      <c r="J1169" s="8"/>
    </row>
    <row r="1170">
      <c r="J1170" s="8"/>
    </row>
    <row r="1171">
      <c r="J1171" s="8"/>
    </row>
    <row r="1172">
      <c r="J1172" s="8"/>
    </row>
    <row r="1173">
      <c r="J1173" s="8"/>
    </row>
    <row r="1174">
      <c r="J1174" s="8"/>
    </row>
    <row r="1175">
      <c r="J1175" s="8"/>
    </row>
    <row r="1176">
      <c r="J1176" s="8"/>
    </row>
    <row r="1177">
      <c r="J1177" s="8"/>
    </row>
    <row r="1178">
      <c r="J1178" s="8"/>
    </row>
    <row r="1179">
      <c r="J1179" s="8"/>
    </row>
    <row r="1180">
      <c r="J1180" s="8"/>
    </row>
    <row r="1181">
      <c r="J1181" s="8"/>
    </row>
    <row r="1182">
      <c r="J1182" s="8"/>
    </row>
    <row r="1183">
      <c r="J1183" s="8"/>
    </row>
    <row r="1184">
      <c r="J1184" s="8"/>
    </row>
    <row r="1185">
      <c r="J1185" s="8"/>
    </row>
    <row r="1186">
      <c r="J1186" s="8"/>
    </row>
    <row r="1187">
      <c r="J1187" s="8"/>
    </row>
    <row r="1188">
      <c r="J1188" s="8"/>
    </row>
    <row r="1189">
      <c r="J1189" s="8"/>
    </row>
    <row r="1190">
      <c r="J1190" s="8"/>
    </row>
    <row r="1191">
      <c r="J1191" s="8"/>
    </row>
    <row r="1192">
      <c r="J1192" s="8"/>
    </row>
    <row r="1193">
      <c r="J1193" s="8"/>
    </row>
    <row r="1194">
      <c r="J1194" s="8"/>
    </row>
    <row r="1195">
      <c r="J1195" s="8"/>
    </row>
    <row r="1196">
      <c r="J1196" s="8"/>
    </row>
    <row r="1197">
      <c r="J1197" s="8"/>
    </row>
    <row r="1198">
      <c r="J1198" s="8"/>
    </row>
    <row r="1199">
      <c r="J1199" s="8"/>
    </row>
    <row r="1200">
      <c r="J1200" s="8"/>
    </row>
    <row r="1201">
      <c r="J1201" s="8"/>
    </row>
    <row r="1202">
      <c r="J1202" s="8"/>
    </row>
    <row r="1203">
      <c r="J1203" s="8"/>
    </row>
    <row r="1204">
      <c r="J1204" s="8"/>
    </row>
    <row r="1205">
      <c r="J1205" s="8"/>
    </row>
    <row r="1206">
      <c r="J1206" s="8"/>
    </row>
    <row r="1207">
      <c r="J1207" s="8"/>
    </row>
    <row r="1208">
      <c r="J1208" s="8"/>
    </row>
    <row r="1209">
      <c r="J1209" s="8"/>
    </row>
    <row r="1210">
      <c r="J1210" s="8"/>
    </row>
    <row r="1211">
      <c r="J1211" s="8"/>
    </row>
    <row r="1212">
      <c r="J1212" s="8"/>
    </row>
    <row r="1213">
      <c r="J1213" s="8"/>
    </row>
    <row r="1214">
      <c r="J1214" s="8"/>
    </row>
    <row r="1215">
      <c r="J1215" s="8"/>
    </row>
    <row r="1216">
      <c r="J1216" s="8"/>
    </row>
    <row r="1217">
      <c r="J1217" s="8"/>
    </row>
    <row r="1218">
      <c r="J1218" s="8"/>
    </row>
    <row r="1219">
      <c r="J1219" s="8"/>
    </row>
    <row r="1220">
      <c r="J1220" s="8"/>
    </row>
    <row r="1221">
      <c r="J1221" s="8"/>
    </row>
    <row r="1222">
      <c r="J1222" s="8"/>
    </row>
    <row r="1223">
      <c r="J1223" s="8"/>
    </row>
    <row r="1224">
      <c r="J1224" s="8"/>
    </row>
    <row r="1225">
      <c r="J1225" s="8"/>
    </row>
    <row r="1226">
      <c r="J1226" s="8"/>
    </row>
    <row r="1227">
      <c r="J1227" s="8"/>
    </row>
    <row r="1228">
      <c r="J1228" s="8"/>
    </row>
    <row r="1229">
      <c r="J1229" s="8"/>
    </row>
    <row r="1230">
      <c r="J1230" s="8"/>
    </row>
    <row r="1231">
      <c r="J1231" s="8"/>
    </row>
    <row r="1232">
      <c r="J1232" s="8"/>
    </row>
    <row r="1233">
      <c r="J1233" s="8"/>
    </row>
    <row r="1234">
      <c r="J1234" s="8"/>
    </row>
    <row r="1235">
      <c r="J1235" s="8"/>
    </row>
    <row r="1236">
      <c r="J1236" s="8"/>
    </row>
    <row r="1237">
      <c r="J1237" s="8"/>
    </row>
    <row r="1238">
      <c r="J1238" s="8"/>
    </row>
    <row r="1239">
      <c r="J1239" s="8"/>
    </row>
    <row r="1240">
      <c r="J1240" s="8"/>
    </row>
    <row r="1241">
      <c r="J1241" s="8"/>
    </row>
    <row r="1242">
      <c r="J1242" s="8"/>
    </row>
    <row r="1243">
      <c r="J1243" s="8"/>
    </row>
    <row r="1244">
      <c r="J1244" s="8"/>
    </row>
    <row r="1245">
      <c r="J1245" s="8"/>
    </row>
    <row r="1246">
      <c r="J1246" s="8"/>
    </row>
    <row r="1247">
      <c r="J1247" s="8"/>
    </row>
    <row r="1248">
      <c r="J1248" s="8"/>
    </row>
    <row r="1249">
      <c r="J1249" s="8"/>
    </row>
    <row r="1250">
      <c r="J1250" s="8"/>
    </row>
    <row r="1251">
      <c r="J1251" s="8"/>
    </row>
    <row r="1252">
      <c r="J1252" s="8"/>
    </row>
    <row r="1253">
      <c r="J1253" s="8"/>
    </row>
    <row r="1254">
      <c r="J1254" s="8"/>
    </row>
    <row r="1255">
      <c r="J1255" s="8"/>
    </row>
    <row r="1256">
      <c r="J1256" s="8"/>
    </row>
    <row r="1257">
      <c r="J1257" s="8"/>
    </row>
    <row r="1258">
      <c r="J1258" s="8"/>
    </row>
    <row r="1259">
      <c r="J1259" s="8"/>
    </row>
    <row r="1260">
      <c r="J1260" s="8"/>
    </row>
    <row r="1261">
      <c r="J1261" s="8"/>
    </row>
    <row r="1262">
      <c r="J1262" s="8"/>
    </row>
    <row r="1263">
      <c r="J1263" s="8"/>
    </row>
    <row r="1264">
      <c r="J1264" s="8"/>
    </row>
    <row r="1265">
      <c r="J1265" s="8"/>
    </row>
    <row r="1266">
      <c r="J1266" s="8"/>
    </row>
    <row r="1267">
      <c r="J1267" s="8"/>
    </row>
    <row r="1268">
      <c r="J1268" s="8"/>
    </row>
    <row r="1269">
      <c r="J1269" s="8"/>
    </row>
    <row r="1270">
      <c r="J1270" s="8"/>
    </row>
    <row r="1271">
      <c r="J1271" s="8"/>
    </row>
    <row r="1272">
      <c r="J1272" s="8"/>
    </row>
    <row r="1273">
      <c r="J1273" s="8"/>
    </row>
    <row r="1274">
      <c r="J1274" s="8"/>
    </row>
    <row r="1275">
      <c r="J1275" s="8"/>
    </row>
    <row r="1276">
      <c r="J1276" s="8"/>
    </row>
    <row r="1277">
      <c r="J1277" s="8"/>
    </row>
    <row r="1278">
      <c r="J1278" s="8"/>
    </row>
    <row r="1279">
      <c r="J1279" s="8"/>
    </row>
    <row r="1280">
      <c r="J1280" s="8"/>
    </row>
    <row r="1281">
      <c r="J1281" s="8"/>
    </row>
    <row r="1282">
      <c r="J1282" s="8"/>
    </row>
    <row r="1283">
      <c r="J1283" s="8"/>
    </row>
    <row r="1284">
      <c r="J1284" s="8"/>
    </row>
    <row r="1285">
      <c r="J1285" s="8"/>
    </row>
    <row r="1286">
      <c r="J1286" s="8"/>
    </row>
    <row r="1287">
      <c r="J1287" s="8"/>
    </row>
    <row r="1288">
      <c r="J1288" s="8"/>
    </row>
    <row r="1289">
      <c r="J1289" s="8"/>
    </row>
    <row r="1290">
      <c r="J1290" s="8"/>
    </row>
    <row r="1291">
      <c r="J1291" s="8"/>
    </row>
    <row r="1292">
      <c r="J1292" s="8"/>
    </row>
    <row r="1293">
      <c r="J1293" s="8"/>
    </row>
    <row r="1294">
      <c r="J1294" s="8"/>
    </row>
    <row r="1295">
      <c r="J1295" s="8"/>
    </row>
    <row r="1296">
      <c r="J1296" s="8"/>
    </row>
    <row r="1297">
      <c r="J1297" s="8"/>
    </row>
    <row r="1298">
      <c r="J1298" s="8"/>
    </row>
    <row r="1299">
      <c r="J1299" s="8"/>
    </row>
    <row r="1300">
      <c r="J1300" s="8"/>
    </row>
    <row r="1301">
      <c r="J1301" s="8"/>
    </row>
    <row r="1302">
      <c r="J1302" s="8"/>
    </row>
    <row r="1303">
      <c r="J1303" s="8"/>
    </row>
    <row r="1304">
      <c r="J1304" s="8"/>
    </row>
    <row r="1305">
      <c r="J1305" s="8"/>
    </row>
    <row r="1306">
      <c r="J1306" s="8"/>
    </row>
    <row r="1307">
      <c r="J1307" s="8"/>
    </row>
    <row r="1308">
      <c r="J1308" s="8"/>
    </row>
    <row r="1309">
      <c r="J1309" s="8"/>
    </row>
    <row r="1310">
      <c r="J1310" s="8"/>
    </row>
    <row r="1311">
      <c r="J1311" s="8"/>
    </row>
    <row r="1312">
      <c r="J1312" s="8"/>
    </row>
    <row r="1313">
      <c r="J1313" s="8"/>
    </row>
    <row r="1314">
      <c r="J1314" s="8"/>
    </row>
    <row r="1315">
      <c r="J1315" s="8"/>
    </row>
    <row r="1316">
      <c r="J1316" s="8"/>
    </row>
    <row r="1317">
      <c r="J1317" s="8"/>
    </row>
    <row r="1318">
      <c r="J1318" s="8"/>
    </row>
    <row r="1319">
      <c r="J1319" s="8"/>
    </row>
    <row r="1320">
      <c r="J1320" s="8"/>
    </row>
    <row r="1321">
      <c r="J1321" s="8"/>
    </row>
    <row r="1322">
      <c r="J1322" s="8"/>
    </row>
    <row r="1323">
      <c r="J1323" s="8"/>
    </row>
    <row r="1324">
      <c r="J1324" s="8"/>
    </row>
    <row r="1325">
      <c r="J1325" s="8"/>
    </row>
    <row r="1326">
      <c r="J1326" s="8"/>
    </row>
    <row r="1327">
      <c r="J1327" s="8"/>
    </row>
    <row r="1328">
      <c r="J1328" s="8"/>
    </row>
    <row r="1329">
      <c r="J1329" s="8"/>
    </row>
    <row r="1330">
      <c r="J1330" s="8"/>
    </row>
    <row r="1331">
      <c r="J1331" s="8"/>
    </row>
    <row r="1332">
      <c r="J1332" s="8"/>
    </row>
    <row r="1333">
      <c r="J1333" s="8"/>
    </row>
    <row r="1334">
      <c r="J1334" s="8"/>
    </row>
    <row r="1335">
      <c r="J1335" s="8"/>
    </row>
    <row r="1336">
      <c r="J1336" s="8"/>
    </row>
    <row r="1337">
      <c r="J1337" s="8"/>
    </row>
    <row r="1338">
      <c r="J1338" s="8"/>
    </row>
    <row r="1339">
      <c r="J1339" s="8"/>
    </row>
    <row r="1340">
      <c r="J1340" s="8"/>
    </row>
    <row r="1341">
      <c r="J1341" s="8"/>
    </row>
    <row r="1342">
      <c r="J1342" s="8"/>
    </row>
    <row r="1343">
      <c r="J1343" s="8"/>
    </row>
    <row r="1344">
      <c r="J1344" s="8"/>
    </row>
    <row r="1345">
      <c r="J1345" s="8"/>
    </row>
    <row r="1346">
      <c r="J1346" s="8"/>
    </row>
    <row r="1347">
      <c r="J1347" s="8"/>
    </row>
    <row r="1348">
      <c r="J1348" s="8"/>
    </row>
    <row r="1349">
      <c r="J1349" s="8"/>
    </row>
    <row r="1350">
      <c r="J1350" s="8"/>
    </row>
    <row r="1351">
      <c r="J1351" s="8"/>
    </row>
    <row r="1352">
      <c r="J1352" s="8"/>
    </row>
    <row r="1353">
      <c r="J1353" s="8"/>
    </row>
    <row r="1354">
      <c r="J1354" s="8"/>
    </row>
    <row r="1355">
      <c r="J1355" s="8"/>
    </row>
    <row r="1356">
      <c r="J1356" s="8"/>
    </row>
    <row r="1357">
      <c r="J1357" s="8"/>
    </row>
    <row r="1358">
      <c r="J1358" s="8"/>
    </row>
    <row r="1359">
      <c r="J1359" s="8"/>
    </row>
    <row r="1360">
      <c r="J1360" s="8"/>
    </row>
    <row r="1361">
      <c r="J1361" s="8"/>
    </row>
    <row r="1362">
      <c r="J1362" s="8"/>
    </row>
    <row r="1363">
      <c r="J1363" s="8"/>
    </row>
    <row r="1364">
      <c r="J1364" s="8"/>
    </row>
    <row r="1365">
      <c r="J1365" s="8"/>
    </row>
    <row r="1366">
      <c r="J1366" s="8"/>
    </row>
    <row r="1367">
      <c r="J1367" s="8"/>
    </row>
    <row r="1368">
      <c r="J1368" s="8"/>
    </row>
    <row r="1369">
      <c r="J1369" s="8"/>
    </row>
    <row r="1370">
      <c r="J1370" s="8"/>
    </row>
    <row r="1371">
      <c r="J1371" s="8"/>
    </row>
    <row r="1372">
      <c r="J1372" s="8"/>
    </row>
    <row r="1373">
      <c r="J1373" s="8"/>
    </row>
    <row r="1374">
      <c r="J1374" s="8"/>
    </row>
    <row r="1375">
      <c r="J1375" s="8"/>
    </row>
    <row r="1376">
      <c r="J1376" s="8"/>
    </row>
    <row r="1377">
      <c r="J1377" s="8"/>
    </row>
    <row r="1378">
      <c r="J1378" s="8"/>
    </row>
    <row r="1379">
      <c r="J1379" s="8"/>
    </row>
    <row r="1380">
      <c r="J1380" s="8"/>
    </row>
    <row r="1381">
      <c r="J1381" s="8"/>
    </row>
    <row r="1382">
      <c r="J1382" s="8"/>
    </row>
    <row r="1383">
      <c r="J1383" s="8"/>
    </row>
    <row r="1384">
      <c r="J1384" s="8"/>
    </row>
    <row r="1385">
      <c r="J1385" s="8"/>
    </row>
    <row r="1386">
      <c r="J1386" s="8"/>
    </row>
    <row r="1387">
      <c r="J1387" s="8"/>
    </row>
    <row r="1388">
      <c r="J1388" s="8"/>
    </row>
    <row r="1389">
      <c r="J1389" s="8"/>
    </row>
    <row r="1390">
      <c r="J1390" s="8"/>
    </row>
    <row r="1391">
      <c r="J1391" s="8"/>
    </row>
    <row r="1392">
      <c r="J1392" s="8"/>
    </row>
    <row r="1393">
      <c r="J1393" s="8"/>
    </row>
    <row r="1394">
      <c r="J1394" s="8"/>
    </row>
    <row r="1395">
      <c r="J1395" s="8"/>
    </row>
    <row r="1396">
      <c r="J1396" s="8"/>
    </row>
    <row r="1397">
      <c r="J1397" s="8"/>
    </row>
    <row r="1398">
      <c r="J1398" s="8"/>
    </row>
    <row r="1399">
      <c r="J1399" s="8"/>
    </row>
    <row r="1400">
      <c r="J1400" s="8"/>
    </row>
    <row r="1401">
      <c r="J1401" s="8"/>
    </row>
    <row r="1402">
      <c r="J1402" s="8"/>
    </row>
    <row r="1403">
      <c r="J1403" s="8"/>
    </row>
    <row r="1404">
      <c r="J1404" s="8"/>
    </row>
    <row r="1405">
      <c r="J1405" s="8"/>
    </row>
    <row r="1406">
      <c r="J1406" s="8"/>
    </row>
    <row r="1407">
      <c r="J1407" s="8"/>
    </row>
    <row r="1408">
      <c r="J1408" s="8"/>
    </row>
    <row r="1409">
      <c r="J1409" s="8"/>
    </row>
    <row r="1410">
      <c r="J1410" s="8"/>
    </row>
    <row r="1411">
      <c r="J1411" s="8"/>
    </row>
    <row r="1412">
      <c r="J1412" s="8"/>
    </row>
    <row r="1413">
      <c r="J1413" s="8"/>
    </row>
    <row r="1414">
      <c r="J1414" s="8"/>
    </row>
    <row r="1415">
      <c r="J1415" s="8"/>
    </row>
    <row r="1416">
      <c r="J1416" s="8"/>
    </row>
    <row r="1417">
      <c r="J1417" s="8"/>
    </row>
    <row r="1418">
      <c r="J1418" s="8"/>
    </row>
    <row r="1419">
      <c r="J1419" s="8"/>
    </row>
    <row r="1420">
      <c r="J1420" s="8"/>
    </row>
    <row r="1421">
      <c r="J1421" s="8"/>
    </row>
    <row r="1422">
      <c r="J1422" s="8"/>
    </row>
    <row r="1423">
      <c r="J1423" s="8"/>
    </row>
    <row r="1424">
      <c r="J1424" s="8"/>
    </row>
    <row r="1425">
      <c r="J1425" s="8"/>
    </row>
    <row r="1426">
      <c r="J1426" s="8"/>
    </row>
    <row r="1427">
      <c r="J1427" s="8"/>
    </row>
    <row r="1428">
      <c r="J1428" s="8"/>
    </row>
    <row r="1429">
      <c r="J1429" s="8"/>
    </row>
    <row r="1430">
      <c r="J1430" s="8"/>
    </row>
    <row r="1431">
      <c r="J1431" s="8"/>
    </row>
    <row r="1432">
      <c r="J1432" s="8"/>
    </row>
    <row r="1433">
      <c r="J1433" s="8"/>
    </row>
    <row r="1434">
      <c r="J1434" s="8"/>
    </row>
    <row r="1435">
      <c r="J1435" s="8"/>
    </row>
    <row r="1436">
      <c r="J1436" s="8"/>
    </row>
    <row r="1437">
      <c r="J1437" s="8"/>
    </row>
    <row r="1438">
      <c r="J1438" s="8"/>
    </row>
    <row r="1439">
      <c r="J1439" s="8"/>
    </row>
    <row r="1440">
      <c r="J1440" s="8"/>
    </row>
    <row r="1441">
      <c r="J1441" s="8"/>
    </row>
    <row r="1442">
      <c r="J1442" s="8"/>
    </row>
    <row r="1443">
      <c r="J1443" s="8"/>
    </row>
    <row r="1444">
      <c r="J1444" s="8"/>
    </row>
    <row r="1445">
      <c r="J1445" s="8"/>
    </row>
    <row r="1446">
      <c r="J1446" s="8"/>
    </row>
    <row r="1447">
      <c r="J1447" s="8"/>
    </row>
    <row r="1448">
      <c r="J1448" s="8"/>
    </row>
    <row r="1449">
      <c r="J1449" s="8"/>
    </row>
    <row r="1450">
      <c r="J1450" s="8"/>
    </row>
    <row r="1451">
      <c r="J1451" s="8"/>
    </row>
    <row r="1452">
      <c r="J1452" s="8"/>
    </row>
    <row r="1453">
      <c r="J1453" s="8"/>
    </row>
    <row r="1454">
      <c r="J1454" s="8"/>
    </row>
    <row r="1455">
      <c r="J1455" s="8"/>
    </row>
    <row r="1456">
      <c r="J1456" s="8"/>
    </row>
    <row r="1457">
      <c r="J1457" s="8"/>
    </row>
    <row r="1458">
      <c r="J1458" s="8"/>
    </row>
    <row r="1459">
      <c r="J1459" s="8"/>
    </row>
    <row r="1460">
      <c r="J1460" s="8"/>
    </row>
    <row r="1461">
      <c r="J1461" s="8"/>
    </row>
    <row r="1462">
      <c r="J1462" s="8"/>
    </row>
    <row r="1463">
      <c r="J1463" s="8"/>
    </row>
    <row r="1464">
      <c r="J1464" s="8"/>
    </row>
    <row r="1465">
      <c r="J1465" s="8"/>
    </row>
    <row r="1466">
      <c r="J1466" s="8"/>
    </row>
    <row r="1467">
      <c r="J1467" s="8"/>
    </row>
    <row r="1468">
      <c r="J1468" s="8"/>
    </row>
    <row r="1469">
      <c r="J1469" s="8"/>
    </row>
    <row r="1470">
      <c r="J1470" s="8"/>
    </row>
    <row r="1471">
      <c r="J1471" s="8"/>
    </row>
    <row r="1472">
      <c r="J1472" s="8"/>
    </row>
    <row r="1473">
      <c r="J1473" s="8"/>
    </row>
    <row r="1474">
      <c r="J1474" s="8"/>
    </row>
    <row r="1475">
      <c r="J1475" s="8"/>
    </row>
    <row r="1476">
      <c r="J1476" s="8"/>
    </row>
    <row r="1477">
      <c r="J1477" s="8"/>
    </row>
    <row r="1478">
      <c r="J1478" s="8"/>
    </row>
    <row r="1479">
      <c r="J1479" s="8"/>
    </row>
    <row r="1480">
      <c r="J1480" s="8"/>
    </row>
    <row r="1481">
      <c r="J1481" s="8"/>
    </row>
    <row r="1482">
      <c r="J1482" s="8"/>
    </row>
    <row r="1483">
      <c r="J1483" s="8"/>
    </row>
    <row r="1484">
      <c r="J1484" s="8"/>
    </row>
    <row r="1485">
      <c r="J1485" s="8"/>
    </row>
    <row r="1486">
      <c r="J1486" s="8"/>
    </row>
    <row r="1487">
      <c r="J1487" s="8"/>
    </row>
    <row r="1488">
      <c r="J1488" s="8"/>
    </row>
    <row r="1489">
      <c r="J1489" s="8"/>
    </row>
    <row r="1490">
      <c r="J1490" s="8"/>
    </row>
    <row r="1491">
      <c r="J1491" s="8"/>
    </row>
    <row r="1492">
      <c r="J1492" s="8"/>
    </row>
    <row r="1493">
      <c r="J1493" s="8"/>
    </row>
    <row r="1494">
      <c r="J1494" s="8"/>
    </row>
    <row r="1495">
      <c r="J1495" s="8"/>
    </row>
    <row r="1496">
      <c r="J1496" s="8"/>
    </row>
    <row r="1497">
      <c r="J1497" s="8"/>
    </row>
    <row r="1498">
      <c r="J1498" s="8"/>
    </row>
    <row r="1499">
      <c r="J1499" s="8"/>
    </row>
    <row r="1500">
      <c r="J1500" s="8"/>
    </row>
    <row r="1501">
      <c r="J1501" s="8"/>
    </row>
    <row r="1502">
      <c r="J1502" s="8"/>
    </row>
    <row r="1503">
      <c r="J1503" s="8"/>
    </row>
    <row r="1504">
      <c r="J1504" s="8"/>
    </row>
    <row r="1505">
      <c r="J1505" s="8"/>
    </row>
    <row r="1506">
      <c r="J1506" s="8"/>
    </row>
    <row r="1507">
      <c r="J1507" s="8"/>
    </row>
    <row r="1508">
      <c r="J1508" s="8"/>
    </row>
    <row r="1509">
      <c r="J1509" s="8"/>
    </row>
    <row r="1510">
      <c r="J1510" s="8"/>
    </row>
    <row r="1511">
      <c r="J1511" s="8"/>
    </row>
    <row r="1512">
      <c r="J1512" s="8"/>
    </row>
    <row r="1513">
      <c r="J1513" s="8"/>
    </row>
    <row r="1514">
      <c r="J1514" s="8"/>
    </row>
    <row r="1515">
      <c r="J1515" s="8"/>
    </row>
    <row r="1516">
      <c r="J1516" s="8"/>
    </row>
    <row r="1517">
      <c r="J1517" s="8"/>
    </row>
    <row r="1518">
      <c r="J1518" s="8"/>
    </row>
    <row r="1519">
      <c r="J1519" s="8"/>
    </row>
    <row r="1520">
      <c r="J1520" s="8"/>
    </row>
    <row r="1521">
      <c r="J1521" s="8"/>
    </row>
    <row r="1522">
      <c r="J1522" s="8"/>
    </row>
    <row r="1523">
      <c r="J1523" s="8"/>
    </row>
    <row r="1524">
      <c r="J1524" s="8"/>
    </row>
    <row r="1525">
      <c r="J1525" s="8"/>
    </row>
    <row r="1526">
      <c r="J1526" s="8"/>
    </row>
    <row r="1527">
      <c r="J1527" s="8"/>
    </row>
    <row r="1528">
      <c r="J1528" s="8"/>
    </row>
    <row r="1529">
      <c r="J1529" s="8"/>
    </row>
    <row r="1530">
      <c r="J1530" s="8"/>
    </row>
    <row r="1531">
      <c r="J1531" s="8"/>
    </row>
    <row r="1532">
      <c r="J1532" s="8"/>
    </row>
    <row r="1533">
      <c r="J1533" s="8"/>
    </row>
    <row r="1534">
      <c r="J1534" s="8"/>
    </row>
    <row r="1535">
      <c r="J1535" s="8"/>
    </row>
    <row r="1536">
      <c r="J1536" s="8"/>
    </row>
    <row r="1537">
      <c r="J1537" s="8"/>
    </row>
    <row r="1538">
      <c r="J1538" s="8"/>
    </row>
    <row r="1539">
      <c r="J1539" s="8"/>
    </row>
    <row r="1540">
      <c r="J1540" s="8"/>
    </row>
    <row r="1541">
      <c r="J1541" s="8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75"/>
    <col customWidth="1" min="2" max="2" width="19.75"/>
  </cols>
  <sheetData>
    <row r="1"/>
    <row r="2"/>
    <row r="3"/>
    <row r="4"/>
    <row r="5"/>
    <row r="6"/>
    <row r="7"/>
    <row r="10"/>
    <row r="11"/>
    <row r="12"/>
    <row r="13"/>
    <row r="14"/>
    <row r="15"/>
    <row r="18"/>
    <row r="19"/>
    <row r="20"/>
    <row r="21"/>
  </sheetData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0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>
      <c r="A2" s="10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12" t="s">
        <v>20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>
      <c r="A6" s="13" t="s">
        <v>21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>
      <c r="A7" s="14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>
      <c r="A8" s="13" t="s">
        <v>22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>
      <c r="A10" s="15" t="s">
        <v>23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</row>
    <row r="1003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</row>
    <row r="1004">
      <c r="A1004" s="11"/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</row>
  </sheetData>
  <drawing r:id="rId1"/>
</worksheet>
</file>